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817" activeTab="0"/>
  </bookViews>
  <sheets>
    <sheet name="COB Lane County" sheetId="1" r:id="rId1"/>
    <sheet name="COB LCC" sheetId="2" r:id="rId2"/>
    <sheet name="COB Lane ESD" sheetId="3" r:id="rId3"/>
    <sheet name="COB City of Coburg" sheetId="4" r:id="rId4"/>
    <sheet name="COB Coburg RFPD" sheetId="5" r:id="rId5"/>
    <sheet name="COB Eugene 4J (1)" sheetId="6" r:id="rId6"/>
    <sheet name="COB Eugene 4J (2)" sheetId="7" r:id="rId7"/>
    <sheet name="RIV City of Eugene (1)" sheetId="8" r:id="rId8"/>
    <sheet name="RIV City of Eugene (2)" sheetId="9" r:id="rId9"/>
    <sheet name="RIV Lane County" sheetId="10" r:id="rId10"/>
    <sheet name="RIV Eugene 4J (1)" sheetId="11" r:id="rId11"/>
    <sheet name="RIV Eugene 4J (2)" sheetId="12" r:id="rId12"/>
    <sheet name="RIV LCC" sheetId="13" r:id="rId13"/>
    <sheet name="RIV Lane ESD" sheetId="14" r:id="rId14"/>
    <sheet name="DT City of Eugene" sheetId="15" r:id="rId15"/>
    <sheet name="DT Lane County" sheetId="16" r:id="rId16"/>
    <sheet name="DT Eugene 4J" sheetId="17" r:id="rId17"/>
    <sheet name="DT LCC" sheetId="18" r:id="rId18"/>
    <sheet name="DT Lane ESD" sheetId="19" r:id="rId19"/>
    <sheet name="VEN Lane County" sheetId="20" r:id="rId20"/>
    <sheet name="VEN City of Veneta" sheetId="21" r:id="rId21"/>
    <sheet name="VEN Fern Ridge SD 28J" sheetId="22" r:id="rId22"/>
    <sheet name="VEN Lane Fire Dist #1" sheetId="23" r:id="rId23"/>
    <sheet name="VEN LCC" sheetId="24" r:id="rId24"/>
    <sheet name="VEN Lane ESD" sheetId="25" r:id="rId25"/>
    <sheet name="VEN Fern Ridge Library" sheetId="26" r:id="rId26"/>
    <sheet name="CISPR Lane County" sheetId="27" r:id="rId27"/>
    <sheet name="CISPR LCC" sheetId="28" r:id="rId28"/>
    <sheet name="CISPR Lane ESD" sheetId="29" r:id="rId29"/>
    <sheet name="CISPR City of Springfield" sheetId="30" r:id="rId30"/>
    <sheet name="CISPR Springfield School Dist" sheetId="31" r:id="rId31"/>
    <sheet name="CISPR Eugene School Dist" sheetId="32" r:id="rId32"/>
    <sheet name="CISPR Glenwood Water Dist" sheetId="33" r:id="rId33"/>
    <sheet name="CISPR Goshen RFPD" sheetId="34" r:id="rId34"/>
    <sheet name="CISPR Willamlane Park &amp; Rec" sheetId="35" r:id="rId35"/>
    <sheet name="CISPR DT Lane County" sheetId="36" r:id="rId36"/>
    <sheet name="CISPR DT LCC" sheetId="37" r:id="rId37"/>
    <sheet name="CISPR DT Lane ESD" sheetId="38" r:id="rId38"/>
    <sheet name="CISPR DT City of Springfield" sheetId="39" r:id="rId39"/>
    <sheet name="CISPR DT Springfield Schl Dist" sheetId="40" r:id="rId40"/>
    <sheet name="CISPR DT Willamlane Park &amp; Rec" sheetId="41" r:id="rId41"/>
    <sheet name="CIFLO Lane County" sheetId="42" r:id="rId42"/>
    <sheet name="CIFLO LCC" sheetId="43" r:id="rId43"/>
    <sheet name="CIFLO Lane ESD" sheetId="44" r:id="rId44"/>
    <sheet name="CIFLO City of Florence" sheetId="45" r:id="rId45"/>
    <sheet name="CIFLO Siuslaw School Dist" sheetId="46" r:id="rId46"/>
    <sheet name="CIFLO Siuslaw Public Lib Dist" sheetId="47" r:id="rId47"/>
    <sheet name="CIFLO Port of Siuslaw" sheetId="48" r:id="rId48"/>
    <sheet name="CIFLO West Lane Ambulance Dist" sheetId="49" r:id="rId49"/>
    <sheet name="Raw Data" sheetId="50" state="hidden" r:id="rId50"/>
  </sheets>
  <definedNames>
    <definedName name="_xlnm.Print_Titles" localSheetId="49">'Raw Data'!$A:$A,'Raw Data'!$1:$1</definedName>
  </definedNames>
  <calcPr fullCalcOnLoad="1"/>
</workbook>
</file>

<file path=xl/sharedStrings.xml><?xml version="1.0" encoding="utf-8"?>
<sst xmlns="http://schemas.openxmlformats.org/spreadsheetml/2006/main" count="3190" uniqueCount="170">
  <si>
    <t>TABLE 4e -Detail of Urban Renewal Plan Areas By Taxing District</t>
  </si>
  <si>
    <t>County:</t>
  </si>
  <si>
    <t xml:space="preserve">Urban Renewal Agency Name:  </t>
  </si>
  <si>
    <t>DOR Plan Area Number:</t>
  </si>
  <si>
    <t>Plan Area Name</t>
  </si>
  <si>
    <t>Taxing District Name</t>
  </si>
  <si>
    <t>DOR Tax District Number</t>
  </si>
  <si>
    <t>County Where Shared Value Resides</t>
  </si>
  <si>
    <t>Shared Value</t>
  </si>
  <si>
    <t>In County 1</t>
  </si>
  <si>
    <t>In County 2</t>
  </si>
  <si>
    <t>In County 3</t>
  </si>
  <si>
    <t>TOTAL</t>
  </si>
  <si>
    <t xml:space="preserve">District-Wide Shared Value </t>
  </si>
  <si>
    <t>Percent of Value in Each County</t>
  </si>
  <si>
    <t>Lines 7 - 9 are the values of the parts of the plan area within the entire district .</t>
  </si>
  <si>
    <t xml:space="preserve">Plan Area Current Value </t>
  </si>
  <si>
    <t>Plan Area Frozen Value (adjusted for Option 3)</t>
  </si>
  <si>
    <t>Excess Value (Amount Used for Option 3 Plans)</t>
  </si>
  <si>
    <t xml:space="preserve">Permanent </t>
  </si>
  <si>
    <t>Local</t>
  </si>
  <si>
    <t>"Gap"</t>
  </si>
  <si>
    <t>Bonds Outside</t>
  </si>
  <si>
    <t>Rate</t>
  </si>
  <si>
    <t>Option *</t>
  </si>
  <si>
    <t>Bonds</t>
  </si>
  <si>
    <t>Limits *</t>
  </si>
  <si>
    <t>District Billing Rate (per dollar AV, from table 4a)</t>
  </si>
  <si>
    <t>Amount Rate Would Raise Division of Tax</t>
  </si>
  <si>
    <t>Division of Tax Urban Renewal Rate  (per doller AV)</t>
  </si>
  <si>
    <t xml:space="preserve">Amount UR Rate Will Raise County 1 </t>
  </si>
  <si>
    <t xml:space="preserve">Amount UR Rate Will Raise County 2 </t>
  </si>
  <si>
    <t xml:space="preserve">Amount UR Rate Will Raise County 3 </t>
  </si>
  <si>
    <t xml:space="preserve">Total Amount All Counties </t>
  </si>
  <si>
    <t>Agency Truncation Loss **</t>
  </si>
  <si>
    <t>Amount Extended County 1</t>
  </si>
  <si>
    <t xml:space="preserve">Amount Extended County 2 </t>
  </si>
  <si>
    <t xml:space="preserve">Amount Extended County 3 </t>
  </si>
  <si>
    <t xml:space="preserve">Total Amount Extended </t>
  </si>
  <si>
    <t xml:space="preserve">Gain/Loss Extension County 1 </t>
  </si>
  <si>
    <t xml:space="preserve">Gain/Loss Extension County 2 </t>
  </si>
  <si>
    <t xml:space="preserve">Gain/Loss Extension County 3 </t>
  </si>
  <si>
    <t xml:space="preserve">Total Gain/Loss Extension </t>
  </si>
  <si>
    <t>UR Compression Loss County 1**</t>
  </si>
  <si>
    <t>UR Compression Loss County 2**</t>
  </si>
  <si>
    <t>UR Compression Loss County 3**</t>
  </si>
  <si>
    <t xml:space="preserve">Total UR Compression Loss </t>
  </si>
  <si>
    <t xml:space="preserve">Amount Imposed County 1 </t>
  </si>
  <si>
    <t xml:space="preserve">Amount Imposed County 2 </t>
  </si>
  <si>
    <t>Amount Imposed County 3</t>
  </si>
  <si>
    <t xml:space="preserve">Total Amount Imposed </t>
  </si>
  <si>
    <t>* Report only levies subject to division of tax. See instructions.</t>
  </si>
  <si>
    <t>** Report compression and truncation losses as negative numbers.</t>
  </si>
  <si>
    <t>county</t>
  </si>
  <si>
    <t>ur_agency</t>
  </si>
  <si>
    <t>plan_area_name</t>
  </si>
  <si>
    <t>tax_dist_name</t>
  </si>
  <si>
    <t>dor_plan_nbr</t>
  </si>
  <si>
    <t>dor_tax_dist</t>
  </si>
  <si>
    <t>dist_code</t>
  </si>
  <si>
    <t>dist_party_id</t>
  </si>
  <si>
    <t>dist_levy</t>
  </si>
  <si>
    <t>col1_levy</t>
  </si>
  <si>
    <t>col2_levy</t>
  </si>
  <si>
    <t>col3_levy</t>
  </si>
  <si>
    <t>col4_levy</t>
  </si>
  <si>
    <t>r5c1</t>
  </si>
  <si>
    <t>r8c1</t>
  </si>
  <si>
    <t>r9c1</t>
  </si>
  <si>
    <t>r10c1</t>
  </si>
  <si>
    <t>r10c2</t>
  </si>
  <si>
    <t>r10c3</t>
  </si>
  <si>
    <t>r10c4</t>
  </si>
  <si>
    <t>r12c1</t>
  </si>
  <si>
    <t>r12c2</t>
  </si>
  <si>
    <t>r12c3</t>
  </si>
  <si>
    <t>r12c4</t>
  </si>
  <si>
    <t>r13c1</t>
  </si>
  <si>
    <t>r13c2</t>
  </si>
  <si>
    <t>r13c3</t>
  </si>
  <si>
    <t>r13c4</t>
  </si>
  <si>
    <t>r18c1</t>
  </si>
  <si>
    <t>r18c2</t>
  </si>
  <si>
    <t>r18c3</t>
  </si>
  <si>
    <t>r18c4</t>
  </si>
  <si>
    <t>r26c1</t>
  </si>
  <si>
    <t>r26c2</t>
  </si>
  <si>
    <t>r26c3</t>
  </si>
  <si>
    <t>r26c4</t>
  </si>
  <si>
    <t>r30c1</t>
  </si>
  <si>
    <t>r30c2</t>
  </si>
  <si>
    <t>r30c3</t>
  </si>
  <si>
    <t>r30c4</t>
  </si>
  <si>
    <t>Page #</t>
  </si>
  <si>
    <t>Lane</t>
  </si>
  <si>
    <t>Coburg Urban Renewal District</t>
  </si>
  <si>
    <t>Coburg Industrial Area</t>
  </si>
  <si>
    <t>Lane County</t>
  </si>
  <si>
    <t>CICOB</t>
  </si>
  <si>
    <t>Lane Community College</t>
  </si>
  <si>
    <t>Lane ESD</t>
  </si>
  <si>
    <t>City of Coburg</t>
  </si>
  <si>
    <t>Coburg Rural Fire Protection District</t>
  </si>
  <si>
    <t>Eugene School District 4J</t>
  </si>
  <si>
    <t>City of Eugene UR Agency</t>
  </si>
  <si>
    <t>Riverfront</t>
  </si>
  <si>
    <t>City of Eugene</t>
  </si>
  <si>
    <t>CIEUG-B</t>
  </si>
  <si>
    <t>Downtown</t>
  </si>
  <si>
    <t>CIEUG-A</t>
  </si>
  <si>
    <t>Veneta Urban Renewal Agency</t>
  </si>
  <si>
    <t>Veneta Urban Renewal Downtown</t>
  </si>
  <si>
    <t>CIVEN</t>
  </si>
  <si>
    <t>City of Veneta</t>
  </si>
  <si>
    <t>Fern Ridge School District 28J</t>
  </si>
  <si>
    <t>Lane Fire District #1</t>
  </si>
  <si>
    <t>Fern Ridge Library District</t>
  </si>
  <si>
    <t>City of Springfield</t>
  </si>
  <si>
    <t>Springfield School District</t>
  </si>
  <si>
    <t>Glenwood Water District</t>
  </si>
  <si>
    <t>Goshen RFPD</t>
  </si>
  <si>
    <t>Willamalane Park and Rec</t>
  </si>
  <si>
    <t>200008715</t>
  </si>
  <si>
    <t>200000000</t>
  </si>
  <si>
    <t>200606000</t>
  </si>
  <si>
    <t>200520100</t>
  </si>
  <si>
    <t>201360000</t>
  </si>
  <si>
    <t>200030900</t>
  </si>
  <si>
    <t>200243000</t>
  </si>
  <si>
    <t>200008720</t>
  </si>
  <si>
    <t>201450000</t>
  </si>
  <si>
    <t>200008540</t>
  </si>
  <si>
    <t>200008710</t>
  </si>
  <si>
    <t>203230000</t>
  </si>
  <si>
    <t>200245000</t>
  </si>
  <si>
    <t>200049500</t>
  </si>
  <si>
    <t>200009180</t>
  </si>
  <si>
    <t>Springfield Economic Development Agency</t>
  </si>
  <si>
    <t>Glenwood Urban Renewal District</t>
  </si>
  <si>
    <t>200008726</t>
  </si>
  <si>
    <t>200001160</t>
  </si>
  <si>
    <t>200031500</t>
  </si>
  <si>
    <t>200005490</t>
  </si>
  <si>
    <t>200244000</t>
  </si>
  <si>
    <t>203010000</t>
  </si>
  <si>
    <t>Levy #</t>
  </si>
  <si>
    <t>Urban Renewal Agency of Florence</t>
  </si>
  <si>
    <t>Florence Urban Renewal District</t>
  </si>
  <si>
    <t>CIFLO</t>
  </si>
  <si>
    <t>City of Florence</t>
  </si>
  <si>
    <t>Siuslaw School District</t>
  </si>
  <si>
    <t>Siuslaw Public Library District</t>
  </si>
  <si>
    <t>Port of Siuslaw</t>
  </si>
  <si>
    <t>Western Lane Ambulance District</t>
  </si>
  <si>
    <t>200091100</t>
  </si>
  <si>
    <t>200002180</t>
  </si>
  <si>
    <t>200009520</t>
  </si>
  <si>
    <t>200257000</t>
  </si>
  <si>
    <t>201680000</t>
  </si>
  <si>
    <t>200008995</t>
  </si>
  <si>
    <t>CISPR-A</t>
  </si>
  <si>
    <t>CISPR-B</t>
  </si>
  <si>
    <t>Springfield Downtown Urban Renewal District</t>
  </si>
  <si>
    <t>200008728</t>
  </si>
  <si>
    <t>Tax Year 2009-10</t>
  </si>
  <si>
    <t>Sum Trunc Loss Col#1</t>
  </si>
  <si>
    <t>Sum Trunc Loss Col#2</t>
  </si>
  <si>
    <t>Sum Trunc Loss Col#3</t>
  </si>
  <si>
    <t>Sum Trunc Loss Col#4</t>
  </si>
  <si>
    <t>DAU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</si>
</sst>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0.000000000%"/>
    <numFmt numFmtId="166" formatCode="0.0000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4" fillId="0" borderId="0" xfId="0" applyFont="1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3" fillId="0" borderId="0" xfId="21" applyFont="1" applyAlignment="1">
      <alignment horizontal="right"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3" fillId="0" borderId="0" xfId="21" applyFont="1">
      <alignment/>
      <protection/>
    </xf>
    <xf numFmtId="0" fontId="7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1" fontId="3" fillId="0" borderId="4" xfId="21" applyNumberFormat="1" applyFont="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3" xfId="21" applyFont="1" applyFill="1" applyBorder="1">
      <alignment/>
      <protection/>
    </xf>
    <xf numFmtId="0" fontId="8" fillId="0" borderId="0" xfId="21" applyFont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3" fillId="0" borderId="8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9" xfId="21" applyFont="1" applyBorder="1" applyAlignment="1">
      <alignment horizontal="center"/>
      <protection/>
    </xf>
    <xf numFmtId="49" fontId="8" fillId="0" borderId="0" xfId="21" applyNumberFormat="1" applyFont="1">
      <alignment/>
      <protection/>
    </xf>
    <xf numFmtId="3" fontId="4" fillId="0" borderId="4" xfId="21" applyNumberFormat="1" applyFont="1" applyBorder="1" applyAlignment="1">
      <alignment/>
      <protection/>
    </xf>
    <xf numFmtId="3" fontId="4" fillId="0" borderId="4" xfId="21" applyNumberFormat="1" applyFont="1" applyBorder="1">
      <alignment/>
      <protection/>
    </xf>
    <xf numFmtId="164" fontId="4" fillId="0" borderId="4" xfId="21" applyNumberFormat="1" applyFont="1" applyBorder="1">
      <alignment/>
      <protection/>
    </xf>
    <xf numFmtId="165" fontId="4" fillId="0" borderId="0" xfId="21" applyNumberFormat="1" applyFont="1" applyBorder="1">
      <alignment/>
      <protection/>
    </xf>
    <xf numFmtId="49" fontId="9" fillId="0" borderId="0" xfId="21" applyNumberFormat="1" applyFont="1" applyAlignment="1">
      <alignment horizontal="left"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8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3" fontId="4" fillId="0" borderId="4" xfId="21" applyNumberFormat="1" applyFont="1" applyFill="1" applyBorder="1" applyAlignment="1">
      <alignment/>
      <protection/>
    </xf>
    <xf numFmtId="0" fontId="4" fillId="0" borderId="5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166" fontId="4" fillId="0" borderId="4" xfId="21" applyNumberFormat="1" applyFont="1" applyFill="1" applyBorder="1">
      <alignment/>
      <protection/>
    </xf>
    <xf numFmtId="166" fontId="4" fillId="0" borderId="4" xfId="21" applyNumberFormat="1" applyFont="1" applyBorder="1">
      <alignment/>
      <protection/>
    </xf>
    <xf numFmtId="4" fontId="4" fillId="0" borderId="4" xfId="21" applyNumberFormat="1" applyFont="1" applyBorder="1">
      <alignment/>
      <protection/>
    </xf>
    <xf numFmtId="4" fontId="4" fillId="0" borderId="14" xfId="21" applyNumberFormat="1" applyFont="1" applyBorder="1">
      <alignment/>
      <protection/>
    </xf>
    <xf numFmtId="4" fontId="4" fillId="0" borderId="12" xfId="21" applyNumberFormat="1" applyFont="1" applyBorder="1">
      <alignment/>
      <protection/>
    </xf>
    <xf numFmtId="4" fontId="4" fillId="0" borderId="4" xfId="21" applyNumberFormat="1" applyFont="1" applyFill="1" applyBorder="1">
      <alignment/>
      <protection/>
    </xf>
    <xf numFmtId="4" fontId="4" fillId="0" borderId="0" xfId="0" applyNumberFormat="1" applyFont="1" applyAlignment="1">
      <alignment/>
    </xf>
    <xf numFmtId="4" fontId="4" fillId="0" borderId="14" xfId="21" applyNumberFormat="1" applyFont="1" applyFill="1" applyBorder="1">
      <alignment/>
      <protection/>
    </xf>
    <xf numFmtId="4" fontId="4" fillId="0" borderId="12" xfId="21" applyNumberFormat="1" applyFont="1" applyFill="1" applyBorder="1">
      <alignment/>
      <protection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10" fillId="2" borderId="4" xfId="22" applyFont="1" applyFill="1" applyBorder="1" applyAlignment="1">
      <alignment horizontal="center"/>
      <protection/>
    </xf>
    <xf numFmtId="49" fontId="10" fillId="2" borderId="4" xfId="22" applyNumberFormat="1" applyFont="1" applyFill="1" applyBorder="1" applyAlignment="1">
      <alignment horizontal="center"/>
      <protection/>
    </xf>
    <xf numFmtId="3" fontId="10" fillId="2" borderId="4" xfId="22" applyNumberFormat="1" applyFont="1" applyFill="1" applyBorder="1" applyAlignment="1">
      <alignment horizontal="center"/>
      <protection/>
    </xf>
    <xf numFmtId="0" fontId="10" fillId="0" borderId="4" xfId="22" applyFont="1" applyFill="1" applyBorder="1" applyAlignment="1">
      <alignment horizontal="left" wrapText="1"/>
      <protection/>
    </xf>
    <xf numFmtId="49" fontId="10" fillId="0" borderId="4" xfId="22" applyNumberFormat="1" applyFont="1" applyFill="1" applyBorder="1" applyAlignment="1">
      <alignment horizontal="left" wrapText="1"/>
      <protection/>
    </xf>
    <xf numFmtId="0" fontId="10" fillId="0" borderId="4" xfId="22" applyFont="1" applyFill="1" applyBorder="1" applyAlignment="1">
      <alignment horizontal="right" wrapText="1"/>
      <protection/>
    </xf>
    <xf numFmtId="3" fontId="10" fillId="0" borderId="4" xfId="22" applyNumberFormat="1" applyFont="1" applyFill="1" applyBorder="1" applyAlignment="1">
      <alignment horizontal="right" wrapText="1"/>
      <protection/>
    </xf>
    <xf numFmtId="49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2" borderId="4" xfId="0" applyFill="1" applyBorder="1" applyAlignment="1">
      <alignment/>
    </xf>
    <xf numFmtId="0" fontId="10" fillId="3" borderId="4" xfId="22" applyFont="1" applyFill="1" applyBorder="1" applyAlignment="1">
      <alignment horizontal="left" wrapText="1"/>
      <protection/>
    </xf>
    <xf numFmtId="49" fontId="10" fillId="3" borderId="4" xfId="22" applyNumberFormat="1" applyFont="1" applyFill="1" applyBorder="1" applyAlignment="1">
      <alignment horizontal="left" wrapText="1"/>
      <protection/>
    </xf>
    <xf numFmtId="0" fontId="10" fillId="3" borderId="4" xfId="22" applyFont="1" applyFill="1" applyBorder="1" applyAlignment="1">
      <alignment horizontal="right" wrapText="1"/>
      <protection/>
    </xf>
    <xf numFmtId="3" fontId="10" fillId="3" borderId="4" xfId="22" applyNumberFormat="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49" fontId="0" fillId="2" borderId="4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4" fillId="0" borderId="8" xfId="21" applyFont="1" applyFill="1" applyBorder="1" applyAlignment="1">
      <alignment/>
      <protection/>
    </xf>
    <xf numFmtId="0" fontId="4" fillId="0" borderId="0" xfId="21" applyFont="1" applyFill="1">
      <alignment/>
      <protection/>
    </xf>
    <xf numFmtId="3" fontId="4" fillId="0" borderId="8" xfId="21" applyNumberFormat="1" applyFont="1" applyBorder="1" applyAlignment="1">
      <alignment/>
      <protection/>
    </xf>
    <xf numFmtId="3" fontId="4" fillId="0" borderId="8" xfId="21" applyNumberFormat="1" applyFont="1" applyFill="1" applyBorder="1" applyAlignment="1">
      <alignment/>
      <protection/>
    </xf>
    <xf numFmtId="0" fontId="0" fillId="0" borderId="4" xfId="0" applyFill="1" applyBorder="1" applyAlignment="1">
      <alignment/>
    </xf>
    <xf numFmtId="0" fontId="4" fillId="0" borderId="1" xfId="21" applyFont="1" applyFill="1" applyBorder="1">
      <alignment/>
      <protection/>
    </xf>
    <xf numFmtId="0" fontId="1" fillId="0" borderId="0" xfId="21" applyFont="1" applyFill="1">
      <alignment/>
      <protection/>
    </xf>
    <xf numFmtId="1" fontId="3" fillId="0" borderId="4" xfId="21" applyNumberFormat="1" applyFont="1" applyFill="1" applyBorder="1">
      <alignment/>
      <protection/>
    </xf>
    <xf numFmtId="49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10" fillId="0" borderId="4" xfId="22" applyFont="1" applyFill="1" applyBorder="1" applyAlignment="1">
      <alignment horizontal="left" wrapText="1"/>
      <protection/>
    </xf>
    <xf numFmtId="49" fontId="10" fillId="0" borderId="4" xfId="22" applyNumberFormat="1" applyFont="1" applyFill="1" applyBorder="1" applyAlignment="1">
      <alignment horizontal="left" wrapText="1"/>
      <protection/>
    </xf>
    <xf numFmtId="0" fontId="10" fillId="0" borderId="4" xfId="22" applyFont="1" applyFill="1" applyBorder="1" applyAlignment="1">
      <alignment horizontal="right" wrapText="1"/>
      <protection/>
    </xf>
    <xf numFmtId="3" fontId="10" fillId="0" borderId="4" xfId="22" applyNumberFormat="1" applyFont="1" applyFill="1" applyBorder="1" applyAlignment="1">
      <alignment horizontal="right" wrapText="1"/>
      <protection/>
    </xf>
    <xf numFmtId="0" fontId="10" fillId="2" borderId="15" xfId="22" applyFont="1" applyFill="1" applyBorder="1" applyAlignment="1">
      <alignment horizontal="center"/>
      <protection/>
    </xf>
    <xf numFmtId="0" fontId="6" fillId="0" borderId="16" xfId="21" applyFont="1" applyBorder="1" applyAlignment="1">
      <alignment horizontal="right"/>
      <protection/>
    </xf>
    <xf numFmtId="0" fontId="0" fillId="0" borderId="16" xfId="0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Raw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selection activeCell="F4" sqref="F4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">
        <v>164</v>
      </c>
      <c r="C2" s="3"/>
      <c r="D2" s="3"/>
      <c r="E2" s="3"/>
      <c r="F2" s="3">
        <v>1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Coburg Urban Renewal District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Coburg Industrial Area</v>
      </c>
      <c r="D9" s="16"/>
      <c r="E9" s="17"/>
      <c r="F9" s="18" t="str">
        <f>VLOOKUP(F2,'Raw Data'!A:AO,6,FALSE)</f>
        <v>200008715</v>
      </c>
    </row>
    <row r="10" spans="1:6" ht="15">
      <c r="A10" s="13">
        <v>2</v>
      </c>
      <c r="B10" s="14" t="s">
        <v>5</v>
      </c>
      <c r="C10" s="8" t="str">
        <f>VLOOKUP(F2,'Raw Data'!A:AO,5,FALSE)</f>
        <v>Lane County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159769263</v>
      </c>
      <c r="D15" s="30"/>
      <c r="E15" s="30"/>
      <c r="F15" s="31">
        <f>SUM(C15:E15)</f>
        <v>159769263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39267623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15462696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23804927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0.0012793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0.0001178</v>
      </c>
    </row>
    <row r="26" spans="1:6" ht="15">
      <c r="A26" s="5">
        <f>1+A25</f>
        <v>11</v>
      </c>
      <c r="B26" s="21" t="s">
        <v>28</v>
      </c>
      <c r="C26" s="48">
        <f>ROUND(C25*$C$21,2)</f>
        <v>30453.64</v>
      </c>
      <c r="D26" s="48">
        <f>ROUND(D25*$C$21,2)</f>
        <v>0</v>
      </c>
      <c r="E26" s="48">
        <f>ROUND(E25*$C$21,2)</f>
        <v>0</v>
      </c>
      <c r="F26" s="48">
        <f>ROUND(F25*$C$21,2)</f>
        <v>2804.22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0.0001906</v>
      </c>
      <c r="D27" s="47">
        <f>ROUNDDOWN(D26/$F$15,7)</f>
        <v>0</v>
      </c>
      <c r="E27" s="47">
        <f>ROUNDDOWN(E26/$F$15,7)</f>
        <v>0</v>
      </c>
      <c r="F27" s="47">
        <f>ROUNDDOWN(F26/$F$15,7)</f>
        <v>1.75E-05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30452.02</v>
      </c>
      <c r="D28" s="48">
        <f>ROUND(D27*$C$15,2)</f>
        <v>0</v>
      </c>
      <c r="E28" s="48">
        <f>ROUND(E27*$C$15,2)</f>
        <v>0</v>
      </c>
      <c r="F28" s="48">
        <f>ROUND(F27*$C$15,2)</f>
        <v>2795.96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30452.02</v>
      </c>
      <c r="D31" s="50">
        <f>ROUND(SUM(D28:D30),2)</f>
        <v>0</v>
      </c>
      <c r="E31" s="50">
        <f>ROUND(SUM(E28:E30),2)</f>
        <v>0</v>
      </c>
      <c r="F31" s="50">
        <f>ROUND(SUM(F28:F30),2)</f>
        <v>2795.96</v>
      </c>
    </row>
    <row r="32" spans="1:6" ht="15">
      <c r="A32" s="5">
        <f t="shared" si="0"/>
        <v>17</v>
      </c>
      <c r="B32" s="21" t="s">
        <v>34</v>
      </c>
      <c r="C32" s="48">
        <f>C31-C26</f>
        <v>-1.6199999999989814</v>
      </c>
      <c r="D32" s="48">
        <f>D31-D26</f>
        <v>0</v>
      </c>
      <c r="E32" s="48">
        <f>E31-E26</f>
        <v>0</v>
      </c>
      <c r="F32" s="48">
        <f>F31-F26</f>
        <v>-8.259999999999764</v>
      </c>
    </row>
    <row r="33" spans="1:6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30452.02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2795.96</v>
      </c>
    </row>
    <row r="34" spans="1:6" ht="15">
      <c r="A34" s="5">
        <f t="shared" si="0"/>
        <v>19</v>
      </c>
      <c r="B34" s="21" t="s">
        <v>36</v>
      </c>
      <c r="C34" s="51"/>
      <c r="D34" s="51"/>
      <c r="E34" s="51"/>
      <c r="F34" s="51"/>
    </row>
    <row r="35" spans="1:6" ht="15.75" thickBot="1">
      <c r="A35" s="5">
        <f t="shared" si="0"/>
        <v>20</v>
      </c>
      <c r="B35" s="21" t="s">
        <v>37</v>
      </c>
      <c r="C35" s="53"/>
      <c r="D35" s="53"/>
      <c r="E35" s="53"/>
      <c r="F35" s="53"/>
    </row>
    <row r="36" spans="1:6" ht="15">
      <c r="A36" s="5">
        <f t="shared" si="0"/>
        <v>21</v>
      </c>
      <c r="B36" s="21" t="s">
        <v>38</v>
      </c>
      <c r="C36" s="54">
        <f>SUM(C33:C35)</f>
        <v>30452.02</v>
      </c>
      <c r="D36" s="54">
        <f>SUM(D33:D35)</f>
        <v>0</v>
      </c>
      <c r="E36" s="54">
        <f>SUM(E33:E35)</f>
        <v>0</v>
      </c>
      <c r="F36" s="54">
        <f>SUM(F33:F35)</f>
        <v>2795.96</v>
      </c>
    </row>
    <row r="37" spans="1:6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</row>
    <row r="38" spans="1:6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</row>
    <row r="39" spans="1:6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</row>
    <row r="40" spans="1:6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</row>
    <row r="41" spans="1:6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-0.02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</row>
    <row r="42" spans="1:6" ht="15">
      <c r="A42" s="5">
        <f t="shared" si="0"/>
        <v>27</v>
      </c>
      <c r="B42" s="21" t="s">
        <v>44</v>
      </c>
      <c r="C42" s="51"/>
      <c r="D42" s="51"/>
      <c r="E42" s="51"/>
      <c r="F42" s="51"/>
    </row>
    <row r="43" spans="1:6" ht="15.75" thickBot="1">
      <c r="A43" s="5">
        <f t="shared" si="0"/>
        <v>28</v>
      </c>
      <c r="B43" s="21" t="s">
        <v>45</v>
      </c>
      <c r="C43" s="53"/>
      <c r="D43" s="53"/>
      <c r="E43" s="53"/>
      <c r="F43" s="53"/>
    </row>
    <row r="44" spans="1:6" ht="15">
      <c r="A44" s="5">
        <f t="shared" si="0"/>
        <v>29</v>
      </c>
      <c r="B44" s="21" t="s">
        <v>46</v>
      </c>
      <c r="C44" s="54">
        <f>SUM(C41:C43)</f>
        <v>-0.02</v>
      </c>
      <c r="D44" s="54">
        <f>SUM(D41:D43)</f>
        <v>0</v>
      </c>
      <c r="E44" s="54">
        <f>SUM(E41:E43)</f>
        <v>0</v>
      </c>
      <c r="F44" s="54">
        <f>SUM(F41:F43)</f>
        <v>0</v>
      </c>
    </row>
    <row r="45" spans="1:6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30452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2795.96</v>
      </c>
    </row>
    <row r="46" spans="1:6" ht="15">
      <c r="A46" s="5">
        <f t="shared" si="0"/>
        <v>31</v>
      </c>
      <c r="B46" s="21" t="s">
        <v>48</v>
      </c>
      <c r="C46" s="51"/>
      <c r="D46" s="51"/>
      <c r="E46" s="51"/>
      <c r="F46" s="51"/>
    </row>
    <row r="47" spans="1:6" ht="15.75" thickBot="1">
      <c r="A47" s="5">
        <f t="shared" si="0"/>
        <v>32</v>
      </c>
      <c r="B47" s="21" t="s">
        <v>49</v>
      </c>
      <c r="C47" s="49"/>
      <c r="D47" s="49"/>
      <c r="E47" s="49"/>
      <c r="F47" s="49"/>
    </row>
    <row r="48" spans="1:6" ht="15">
      <c r="A48" s="5">
        <f t="shared" si="0"/>
        <v>33</v>
      </c>
      <c r="B48" s="21" t="s">
        <v>50</v>
      </c>
      <c r="C48" s="50">
        <f>SUM(C45:C47)</f>
        <v>30452</v>
      </c>
      <c r="D48" s="50">
        <f>SUM(D45:D47)</f>
        <v>0</v>
      </c>
      <c r="E48" s="50">
        <f>SUM(E45:E47)</f>
        <v>0</v>
      </c>
      <c r="F48" s="50">
        <f>SUM(F45:F47)</f>
        <v>2795.96</v>
      </c>
    </row>
    <row r="49" spans="1:6" ht="15">
      <c r="A49" s="5"/>
      <c r="B49" s="21" t="s">
        <v>145</v>
      </c>
      <c r="C49" s="76">
        <f>IF(VLOOKUP(F2,'Raw Data'!A:AO,11,FALSE)="",0,VLOOKUP(F2,'Raw Data'!A:AO,11,FALSE))</f>
        <v>7267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7260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10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Riverfront</v>
      </c>
      <c r="D9" s="16"/>
      <c r="E9" s="17"/>
      <c r="F9" s="18" t="str">
        <f>VLOOKUP(F2,'Raw Data'!A:AO,6,FALSE)</f>
        <v>200008720</v>
      </c>
    </row>
    <row r="10" spans="1:6" ht="15">
      <c r="A10" s="13">
        <v>2</v>
      </c>
      <c r="B10" s="14" t="s">
        <v>5</v>
      </c>
      <c r="C10" s="8" t="str">
        <f>VLOOKUP(F2,'Raw Data'!A:AO,5,FALSE)</f>
        <v>Lane County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11633024852</v>
      </c>
      <c r="D15" s="30"/>
      <c r="E15" s="30"/>
      <c r="F15" s="31">
        <f>SUM(C15:E15)</f>
        <v>11633024852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93553491</v>
      </c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50609448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42944043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0.0012793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0.0001178</v>
      </c>
    </row>
    <row r="26" spans="1:6" ht="15">
      <c r="A26" s="5">
        <f>1+A25</f>
        <v>11</v>
      </c>
      <c r="B26" s="21" t="s">
        <v>28</v>
      </c>
      <c r="C26" s="48">
        <f>ROUND(C25*$C$21,2)</f>
        <v>54938.31</v>
      </c>
      <c r="D26" s="48">
        <f>ROUND(D25*$C$21,2)</f>
        <v>0</v>
      </c>
      <c r="E26" s="48">
        <f>ROUND(E25*$C$21,2)</f>
        <v>0</v>
      </c>
      <c r="F26" s="48">
        <f>ROUND(F25*$C$21,2)</f>
        <v>5058.81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4.7E-06</v>
      </c>
      <c r="D27" s="47">
        <f>ROUNDDOWN(D26/$F$15,7)</f>
        <v>0</v>
      </c>
      <c r="E27" s="47">
        <f>ROUNDDOWN(E26/$F$15,7)</f>
        <v>0</v>
      </c>
      <c r="F27" s="47">
        <f>ROUNDDOWN(F26/$F$15,7)</f>
        <v>4E-07</v>
      </c>
    </row>
    <row r="28" spans="1:6" ht="15">
      <c r="A28" s="5">
        <f t="shared" si="0"/>
        <v>13</v>
      </c>
      <c r="B28" s="21" t="s">
        <v>30</v>
      </c>
      <c r="C28" s="48">
        <f>ROUND(C27*$C$15,2)</f>
        <v>54675.22</v>
      </c>
      <c r="D28" s="48">
        <f>ROUND(D27*$C$15,2)</f>
        <v>0</v>
      </c>
      <c r="E28" s="48">
        <f>ROUND(E27*$C$15,2)</f>
        <v>0</v>
      </c>
      <c r="F28" s="48">
        <f>ROUND(F27*$C$15,2)</f>
        <v>4653.21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54675.22</v>
      </c>
      <c r="D31" s="50">
        <f>ROUND(SUM(D28:D30),2)</f>
        <v>0</v>
      </c>
      <c r="E31" s="50">
        <f>ROUND(SUM(E28:E30),2)</f>
        <v>0</v>
      </c>
      <c r="F31" s="50">
        <f>ROUND(SUM(F28:F30),2)</f>
        <v>4653.21</v>
      </c>
    </row>
    <row r="32" spans="1:6" ht="15">
      <c r="A32" s="5">
        <f t="shared" si="0"/>
        <v>17</v>
      </c>
      <c r="B32" s="21" t="s">
        <v>34</v>
      </c>
      <c r="C32" s="48">
        <f>C31-C26</f>
        <v>-263.0899999999965</v>
      </c>
      <c r="D32" s="48">
        <f>D31-D26</f>
        <v>0</v>
      </c>
      <c r="E32" s="48">
        <f>E31-E26</f>
        <v>0</v>
      </c>
      <c r="F32" s="48">
        <f>F31-F26</f>
        <v>-405.60000000000036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54675.22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4653.21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54675.22</v>
      </c>
      <c r="D36" s="54">
        <f>SUM(D33:D35)</f>
        <v>0</v>
      </c>
      <c r="E36" s="54">
        <f>SUM(E33:E35)</f>
        <v>0</v>
      </c>
      <c r="F36" s="54">
        <f>SUM(F33:F35)</f>
        <v>4653.21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-0.02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-0.02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54675.2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4653.21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54675.2</v>
      </c>
      <c r="D48" s="50">
        <f>SUM(D45:D47)</f>
        <v>0</v>
      </c>
      <c r="E48" s="50">
        <f>SUM(E45:E47)</f>
        <v>0</v>
      </c>
      <c r="F48" s="50">
        <f>SUM(F45:F47)</f>
        <v>4653.21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7233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7224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11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Riverfront</v>
      </c>
      <c r="D9" s="16"/>
      <c r="E9" s="17"/>
      <c r="F9" s="18" t="str">
        <f>VLOOKUP(F2,'Raw Data'!A:AO,6,FALSE)</f>
        <v>200008720</v>
      </c>
    </row>
    <row r="10" spans="1:6" ht="15">
      <c r="A10" s="13">
        <v>2</v>
      </c>
      <c r="B10" s="14" t="s">
        <v>5</v>
      </c>
      <c r="C10" s="8" t="str">
        <f>VLOOKUP(F2,'Raw Data'!A:AO,5,FALSE)</f>
        <v>Eugene School District 4J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200243000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9488276037</v>
      </c>
      <c r="D15" s="30"/>
      <c r="E15" s="30"/>
      <c r="F15" s="31">
        <f>SUM(C15:E15)</f>
        <v>9488276037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93553491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50609448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42944043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0.0047485</v>
      </c>
      <c r="D25" s="47">
        <f>IF(VLOOKUP(F2,'Raw Data'!A:AO,19,FALSE)="",0,VLOOKUP(F2,'Raw Data'!A:AO,19,FALSE))</f>
        <v>0.0015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0.0005808</v>
      </c>
    </row>
    <row r="26" spans="1:6" ht="15">
      <c r="A26" s="5">
        <f>1+A25</f>
        <v>11</v>
      </c>
      <c r="B26" s="21" t="s">
        <v>28</v>
      </c>
      <c r="C26" s="48">
        <f>ROUND(C25*$C$21,2)</f>
        <v>203919.79</v>
      </c>
      <c r="D26" s="48">
        <f>ROUND(D25*$C$21,2)</f>
        <v>64416.06</v>
      </c>
      <c r="E26" s="48">
        <f>ROUND(E25*$C$21,2)</f>
        <v>0</v>
      </c>
      <c r="F26" s="48">
        <f>ROUND(F25*$C$21,2)</f>
        <v>24941.9</v>
      </c>
    </row>
    <row r="27" spans="1:6" ht="15">
      <c r="A27" s="5">
        <f aca="true" t="shared" si="0" ref="A27:A48">1+A26</f>
        <v>12</v>
      </c>
      <c r="B27" s="21" t="s">
        <v>29</v>
      </c>
      <c r="C27" s="46">
        <f>ROUNDDOWN(C26/$F$15,7)</f>
        <v>2.14E-05</v>
      </c>
      <c r="D27" s="46">
        <f>ROUNDDOWN(D26/$F$15,7)</f>
        <v>6.7E-06</v>
      </c>
      <c r="E27" s="46">
        <f>ROUNDDOWN(E26/$F$15,7)</f>
        <v>0</v>
      </c>
      <c r="F27" s="46">
        <f>ROUNDDOWN(F26/$F$15,7)</f>
        <v>2.6E-06</v>
      </c>
    </row>
    <row r="28" spans="1:6" ht="15">
      <c r="A28" s="5">
        <f t="shared" si="0"/>
        <v>13</v>
      </c>
      <c r="B28" s="21" t="s">
        <v>30</v>
      </c>
      <c r="C28" s="51">
        <f>ROUND(C27*$C$15,2)</f>
        <v>203049.11</v>
      </c>
      <c r="D28" s="51">
        <f>ROUND(D27*$C$15,2)</f>
        <v>63571.45</v>
      </c>
      <c r="E28" s="51">
        <f>ROUND(E27*$C$15,2)</f>
        <v>0</v>
      </c>
      <c r="F28" s="51">
        <f>ROUND(F27*$C$15,2)</f>
        <v>24669.52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203049.11</v>
      </c>
      <c r="D31" s="50">
        <f>ROUND(SUM(D28:D30),2)</f>
        <v>63571.45</v>
      </c>
      <c r="E31" s="50">
        <f>ROUND(SUM(E28:E30),2)</f>
        <v>0</v>
      </c>
      <c r="F31" s="50">
        <f>ROUND(SUM(F28:F30),2)</f>
        <v>24669.52</v>
      </c>
    </row>
    <row r="32" spans="1:6" ht="15">
      <c r="A32" s="5">
        <f t="shared" si="0"/>
        <v>17</v>
      </c>
      <c r="B32" s="21" t="s">
        <v>34</v>
      </c>
      <c r="C32" s="48">
        <f>C31-C26</f>
        <v>-870.6800000000221</v>
      </c>
      <c r="D32" s="48">
        <f>D31-D26</f>
        <v>-844.6100000000006</v>
      </c>
      <c r="E32" s="48">
        <f>E31-E26</f>
        <v>0</v>
      </c>
      <c r="F32" s="48">
        <f>F31-F26</f>
        <v>-272.380000000001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203049.11</v>
      </c>
      <c r="D33" s="51">
        <f>IF(VLOOKUP(F2,'Raw Data'!A:AO,31,FALSE)="",0,VLOOKUP(F2,'Raw Data'!A:AO,31,FALSE))</f>
        <v>63571.45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24669.52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203049.11</v>
      </c>
      <c r="D36" s="54">
        <f>SUM(D33:D35)</f>
        <v>63571.45</v>
      </c>
      <c r="E36" s="54">
        <f>SUM(E33:E35)</f>
        <v>0</v>
      </c>
      <c r="F36" s="54">
        <f>SUM(F33:F35)</f>
        <v>24669.52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-0.14</v>
      </c>
      <c r="D41" s="51">
        <f>IF(VLOOKUP(F2,'Raw Data'!A:AO,35,FALSE)="",0,VLOOKUP(F2,'Raw Data'!A:AO,35,FALSE))</f>
        <v>-1.22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-0.01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-0.14</v>
      </c>
      <c r="D44" s="54">
        <f>SUM(D41:D43)</f>
        <v>-1.22</v>
      </c>
      <c r="E44" s="54">
        <f>SUM(E41:E43)</f>
        <v>0</v>
      </c>
      <c r="F44" s="54">
        <f>SUM(F41:F43)</f>
        <v>-0.01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203048.97</v>
      </c>
      <c r="D45" s="51">
        <f>IF(VLOOKUP(F2,'Raw Data'!A:AO,39,FALSE)="",0,VLOOKUP(F2,'Raw Data'!A:AO,39,FALSE))</f>
        <v>63570.23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24669.51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203048.97</v>
      </c>
      <c r="D48" s="50">
        <f>SUM(D45:D47)</f>
        <v>63570.23</v>
      </c>
      <c r="E48" s="50">
        <f>SUM(E45:E47)</f>
        <v>0</v>
      </c>
      <c r="F48" s="50">
        <f>SUM(F45:F47)</f>
        <v>24669.51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7235</v>
      </c>
      <c r="D49" s="76">
        <f>IF(VLOOKUP(F2,'Raw Data'!A:AO,12,FALSE)="",0,VLOOKUP(F2,'Raw Data'!A:AO,12,FALSE))</f>
        <v>7234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7230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12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Riverfront</v>
      </c>
      <c r="D9" s="16"/>
      <c r="E9" s="17"/>
      <c r="F9" s="18" t="str">
        <f>VLOOKUP(F2,'Raw Data'!A:AO,6,FALSE)</f>
        <v>200008720</v>
      </c>
    </row>
    <row r="10" spans="1:6" ht="15">
      <c r="A10" s="13">
        <v>2</v>
      </c>
      <c r="B10" s="14" t="s">
        <v>5</v>
      </c>
      <c r="C10" s="8" t="str">
        <f>VLOOKUP(F2,'Raw Data'!A:AO,5,FALSE)</f>
        <v>Eugene School District 4J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200243000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9488276037</v>
      </c>
      <c r="D15" s="30"/>
      <c r="E15" s="30"/>
      <c r="F15" s="31">
        <f>SUM(C15:E15)</f>
        <v>9488276037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93553491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50609448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42944043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0.0008121</v>
      </c>
    </row>
    <row r="26" spans="1:6" ht="15">
      <c r="A26" s="5">
        <f>1+A25</f>
        <v>11</v>
      </c>
      <c r="B26" s="21" t="s">
        <v>28</v>
      </c>
      <c r="C26" s="48">
        <f>ROUND(C25*$C$21,2)</f>
        <v>0</v>
      </c>
      <c r="D26" s="48">
        <f>ROUND(D25*$C$21,2)</f>
        <v>0</v>
      </c>
      <c r="E26" s="48">
        <f>ROUND(E25*$C$21,2)</f>
        <v>0</v>
      </c>
      <c r="F26" s="48">
        <f>ROUND(F25*$C$21,2)</f>
        <v>34874.86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</v>
      </c>
      <c r="D27" s="47">
        <f>ROUNDDOWN(D26/$F$15,7)</f>
        <v>0</v>
      </c>
      <c r="E27" s="47">
        <f>ROUNDDOWN(E26/$F$15,7)</f>
        <v>0</v>
      </c>
      <c r="F27" s="46">
        <f>ROUNDDOWN(F26/$F$15,7)</f>
        <v>3.6E-06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0</v>
      </c>
      <c r="D28" s="48">
        <f>ROUND(D27*$C$15,2)</f>
        <v>0</v>
      </c>
      <c r="E28" s="48">
        <f>ROUND(E27*$C$15,2)</f>
        <v>0</v>
      </c>
      <c r="F28" s="48">
        <f>ROUND(F27*$C$15,2)</f>
        <v>34157.79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0</v>
      </c>
      <c r="D31" s="50">
        <f>ROUND(SUM(D28:D30),2)</f>
        <v>0</v>
      </c>
      <c r="E31" s="50">
        <f>ROUND(SUM(E28:E30),2)</f>
        <v>0</v>
      </c>
      <c r="F31" s="50">
        <f>ROUND(SUM(F28:F30),2)</f>
        <v>34157.79</v>
      </c>
    </row>
    <row r="32" spans="1:6" ht="15">
      <c r="A32" s="5">
        <f t="shared" si="0"/>
        <v>17</v>
      </c>
      <c r="B32" s="21" t="s">
        <v>34</v>
      </c>
      <c r="C32" s="48">
        <f>C31-C26</f>
        <v>0</v>
      </c>
      <c r="D32" s="48">
        <f>D31-D26</f>
        <v>0</v>
      </c>
      <c r="E32" s="48">
        <f>E31-E26</f>
        <v>0</v>
      </c>
      <c r="F32" s="48">
        <f>F31-F26</f>
        <v>-717.0699999999997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0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34157.79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0</v>
      </c>
      <c r="D36" s="54">
        <f>SUM(D33:D35)</f>
        <v>0</v>
      </c>
      <c r="E36" s="54">
        <f>SUM(E33:E35)</f>
        <v>0</v>
      </c>
      <c r="F36" s="54">
        <f>SUM(F33:F35)</f>
        <v>34157.79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-0.01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-0.01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0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34157.78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34157.78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7232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13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Riverfront</v>
      </c>
      <c r="D9" s="16"/>
      <c r="E9" s="17"/>
      <c r="F9" s="18" t="str">
        <f>VLOOKUP(F2,'Raw Data'!A:AO,6,FALSE)</f>
        <v>200008720</v>
      </c>
    </row>
    <row r="10" spans="1:6" ht="15">
      <c r="A10" s="13">
        <v>2</v>
      </c>
      <c r="B10" s="14" t="s">
        <v>5</v>
      </c>
      <c r="C10" s="8" t="str">
        <f>VLOOKUP(F2,'Raw Data'!A:AO,5,FALSE)</f>
        <v>Lane Community College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200606000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11622267131</v>
      </c>
      <c r="D15" s="30"/>
      <c r="E15" s="30"/>
      <c r="F15" s="31">
        <f>SUM(C15:E15)</f>
        <v>11622267131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93553491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50609448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42944043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0.0006191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0.0002343</v>
      </c>
    </row>
    <row r="26" spans="1:6" ht="15">
      <c r="A26" s="5">
        <f>1+A25</f>
        <v>11</v>
      </c>
      <c r="B26" s="21" t="s">
        <v>28</v>
      </c>
      <c r="C26" s="48">
        <f>ROUND(C25*$C$21,2)</f>
        <v>26586.66</v>
      </c>
      <c r="D26" s="48">
        <f>ROUND(D25*$C$21,2)</f>
        <v>0</v>
      </c>
      <c r="E26" s="48">
        <f>ROUND(E25*$C$21,2)</f>
        <v>0</v>
      </c>
      <c r="F26" s="48">
        <f>ROUND(F25*$C$21,2)</f>
        <v>10061.79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2.2E-06</v>
      </c>
      <c r="D27" s="47">
        <f>ROUNDDOWN(D26/$F$15,7)</f>
        <v>0</v>
      </c>
      <c r="E27" s="47">
        <f>ROUNDDOWN(E26/$F$15,7)</f>
        <v>0</v>
      </c>
      <c r="F27" s="47">
        <f>ROUNDDOWN(F26/$F$15,7)</f>
        <v>8E-07</v>
      </c>
    </row>
    <row r="28" spans="1:6" ht="15">
      <c r="A28" s="5">
        <f t="shared" si="0"/>
        <v>13</v>
      </c>
      <c r="B28" s="21" t="s">
        <v>30</v>
      </c>
      <c r="C28" s="48">
        <f>ROUND(C27*$C$15,2)</f>
        <v>25568.99</v>
      </c>
      <c r="D28" s="48">
        <f>ROUND(D27*$C$15,2)</f>
        <v>0</v>
      </c>
      <c r="E28" s="48">
        <f>ROUND(E27*$C$15,2)</f>
        <v>0</v>
      </c>
      <c r="F28" s="48">
        <f>ROUND(F27*$C$15,2)</f>
        <v>9297.81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25568.99</v>
      </c>
      <c r="D31" s="50">
        <f>ROUND(SUM(D28:D30),2)</f>
        <v>0</v>
      </c>
      <c r="E31" s="50">
        <f>ROUND(SUM(E28:E30),2)</f>
        <v>0</v>
      </c>
      <c r="F31" s="50">
        <f>ROUND(SUM(F28:F30),2)</f>
        <v>9297.81</v>
      </c>
    </row>
    <row r="32" spans="1:6" ht="15">
      <c r="A32" s="5">
        <f t="shared" si="0"/>
        <v>17</v>
      </c>
      <c r="B32" s="21" t="s">
        <v>34</v>
      </c>
      <c r="C32" s="48">
        <f>C31-C26</f>
        <v>-1017.6699999999983</v>
      </c>
      <c r="D32" s="48">
        <f>D31-D26</f>
        <v>0</v>
      </c>
      <c r="E32" s="48">
        <f>E31-E26</f>
        <v>0</v>
      </c>
      <c r="F32" s="48">
        <f>F31-F26</f>
        <v>-763.9800000000014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25568.99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9297.81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25568.99</v>
      </c>
      <c r="D36" s="54">
        <f>SUM(D33:D35)</f>
        <v>0</v>
      </c>
      <c r="E36" s="54">
        <f>SUM(E33:E35)</f>
        <v>0</v>
      </c>
      <c r="F36" s="54">
        <f>SUM(F33:F35)</f>
        <v>9297.81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-0.01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-0.01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25568.98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9297.81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25568.98</v>
      </c>
      <c r="D48" s="50">
        <f>SUM(D45:D47)</f>
        <v>0</v>
      </c>
      <c r="E48" s="50">
        <f>SUM(E45:E47)</f>
        <v>0</v>
      </c>
      <c r="F48" s="50">
        <f>SUM(F45:F47)</f>
        <v>9297.81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7229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7227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14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Riverfront</v>
      </c>
      <c r="D9" s="16"/>
      <c r="E9" s="17"/>
      <c r="F9" s="18" t="str">
        <f>VLOOKUP(F2,'Raw Data'!A:AO,6,FALSE)</f>
        <v>200008720</v>
      </c>
    </row>
    <row r="10" spans="1:6" ht="15">
      <c r="A10" s="13">
        <v>2</v>
      </c>
      <c r="B10" s="14" t="s">
        <v>5</v>
      </c>
      <c r="C10" s="8" t="str">
        <f>VLOOKUP(F2,'Raw Data'!A:AO,5,FALSE)</f>
        <v>Lane ESD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200520100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11622267131</v>
      </c>
      <c r="D15" s="30"/>
      <c r="E15" s="30"/>
      <c r="F15" s="31">
        <f>SUM(C15:E15)</f>
        <v>11622267131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93553491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50609448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42944043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0.0002232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9585.11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8E-07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9297.81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9297.81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-287.3000000000011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9297.81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9297.81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9297.81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9297.81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7225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15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Downtown</v>
      </c>
      <c r="D9" s="16"/>
      <c r="E9" s="17"/>
      <c r="F9" s="18" t="str">
        <f>VLOOKUP(F2,'Raw Data'!A:AO,6,FALSE)</f>
        <v>200008540</v>
      </c>
    </row>
    <row r="10" spans="1:6" ht="15">
      <c r="A10" s="13">
        <v>2</v>
      </c>
      <c r="B10" s="14" t="s">
        <v>5</v>
      </c>
      <c r="C10" s="8" t="str">
        <f>VLOOKUP(F2,'Raw Data'!A:AO,5,FALSE)</f>
        <v>City of Eugene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201450000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11633024852</v>
      </c>
      <c r="D15" s="30"/>
      <c r="E15" s="30"/>
      <c r="F15" s="31">
        <f>SUM(C15:E15)</f>
        <v>11633024852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154980036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31386991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123593045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0.0070058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0.0003287</v>
      </c>
    </row>
    <row r="26" spans="1:6" ht="15">
      <c r="A26" s="5">
        <f>1+A25</f>
        <v>11</v>
      </c>
      <c r="B26" s="21" t="s">
        <v>28</v>
      </c>
      <c r="C26" s="48">
        <f>ROUND(C25*$C$21,2)</f>
        <v>865868.15</v>
      </c>
      <c r="D26" s="48">
        <f>ROUND(D25*$C$21,2)</f>
        <v>0</v>
      </c>
      <c r="E26" s="48">
        <f>ROUND(E25*$C$21,2)</f>
        <v>0</v>
      </c>
      <c r="F26" s="48">
        <f>ROUND(F25*$C$21,2)</f>
        <v>40625.03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7.44E-05</v>
      </c>
      <c r="D27" s="47">
        <f>ROUNDDOWN(D26/$F$15,7)</f>
        <v>0</v>
      </c>
      <c r="E27" s="47">
        <f>ROUNDDOWN(E26/$F$15,7)</f>
        <v>0</v>
      </c>
      <c r="F27" s="47">
        <f>ROUNDDOWN(F26/$F$15,7)</f>
        <v>3.4E-06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865497.05</v>
      </c>
      <c r="D28" s="48">
        <f>ROUND(D27*$C$15,2)</f>
        <v>0</v>
      </c>
      <c r="E28" s="48">
        <f>ROUND(E27*$C$15,2)</f>
        <v>0</v>
      </c>
      <c r="F28" s="48">
        <f>ROUND(F27*$C$15,2)</f>
        <v>39552.28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865497.05</v>
      </c>
      <c r="D31" s="50">
        <f>ROUND(SUM(D28:D30),2)</f>
        <v>0</v>
      </c>
      <c r="E31" s="50">
        <f>ROUND(SUM(E28:E30),2)</f>
        <v>0</v>
      </c>
      <c r="F31" s="50">
        <f>ROUND(SUM(F28:F30),2)</f>
        <v>39552.28</v>
      </c>
    </row>
    <row r="32" spans="1:6" ht="15">
      <c r="A32" s="5">
        <f t="shared" si="0"/>
        <v>17</v>
      </c>
      <c r="B32" s="21" t="s">
        <v>34</v>
      </c>
      <c r="C32" s="48">
        <f>C31-C26</f>
        <v>-371.0999999999767</v>
      </c>
      <c r="D32" s="48">
        <f>D31-D26</f>
        <v>0</v>
      </c>
      <c r="E32" s="48">
        <f>E31-E26</f>
        <v>0</v>
      </c>
      <c r="F32" s="48">
        <f>F31-F26</f>
        <v>-1072.75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865497.05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39552.28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865497.05</v>
      </c>
      <c r="D36" s="54">
        <f>SUM(D33:D35)</f>
        <v>0</v>
      </c>
      <c r="E36" s="54">
        <f>SUM(E33:E35)</f>
        <v>0</v>
      </c>
      <c r="F36" s="54">
        <f>SUM(F33:F35)</f>
        <v>39552.28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-1.15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-0.01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-1.15</v>
      </c>
      <c r="D44" s="54">
        <f>SUM(D41:D43)</f>
        <v>0</v>
      </c>
      <c r="E44" s="54">
        <f>SUM(E41:E43)</f>
        <v>0</v>
      </c>
      <c r="F44" s="54">
        <f>SUM(F41:F43)</f>
        <v>-0.01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865495.9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39552.27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865495.9</v>
      </c>
      <c r="D48" s="50">
        <f>SUM(D45:D47)</f>
        <v>0</v>
      </c>
      <c r="E48" s="50">
        <f>SUM(E45:E47)</f>
        <v>0</v>
      </c>
      <c r="F48" s="50">
        <f>SUM(F45:F47)</f>
        <v>39552.27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7223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7218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16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Downtown</v>
      </c>
      <c r="D9" s="16"/>
      <c r="E9" s="17"/>
      <c r="F9" s="18" t="str">
        <f>VLOOKUP(F2,'Raw Data'!A:AO,6,FALSE)</f>
        <v>200008540</v>
      </c>
    </row>
    <row r="10" spans="1:6" ht="15">
      <c r="A10" s="13">
        <v>2</v>
      </c>
      <c r="B10" s="14" t="s">
        <v>5</v>
      </c>
      <c r="C10" s="8" t="str">
        <f>VLOOKUP(F2,'Raw Data'!A:AO,5,FALSE)</f>
        <v>Lane County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11633024852</v>
      </c>
      <c r="D15" s="30"/>
      <c r="E15" s="30"/>
      <c r="F15" s="31">
        <f>SUM(C15:E15)</f>
        <v>11633024852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154980036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31386991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123593045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0.0012793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0.0001178</v>
      </c>
    </row>
    <row r="26" spans="1:6" ht="15">
      <c r="A26" s="5">
        <f>1+A25</f>
        <v>11</v>
      </c>
      <c r="B26" s="21" t="s">
        <v>28</v>
      </c>
      <c r="C26" s="48">
        <f>ROUND(C25*$C$21,2)</f>
        <v>158112.58</v>
      </c>
      <c r="D26" s="48">
        <f>ROUND(D25*$C$21,2)</f>
        <v>0</v>
      </c>
      <c r="E26" s="48">
        <f>ROUND(E25*$C$21,2)</f>
        <v>0</v>
      </c>
      <c r="F26" s="48">
        <f>ROUND(F25*$C$21,2)</f>
        <v>14559.26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1.35E-05</v>
      </c>
      <c r="D27" s="47">
        <f>ROUNDDOWN(D26/$F$15,7)</f>
        <v>0</v>
      </c>
      <c r="E27" s="47">
        <f>ROUNDDOWN(E26/$F$15,7)</f>
        <v>0</v>
      </c>
      <c r="F27" s="47">
        <f>ROUNDDOWN(F26/$F$15,7)</f>
        <v>1.2E-06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157045.84</v>
      </c>
      <c r="D28" s="48">
        <f>ROUND(D27*$C$15,2)</f>
        <v>0</v>
      </c>
      <c r="E28" s="48">
        <f>ROUND(E27*$C$15,2)</f>
        <v>0</v>
      </c>
      <c r="F28" s="48">
        <f>ROUND(F27*$C$15,2)</f>
        <v>13959.63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157045.84</v>
      </c>
      <c r="D31" s="50">
        <f>ROUND(SUM(D28:D30),2)</f>
        <v>0</v>
      </c>
      <c r="E31" s="50">
        <f>ROUND(SUM(E28:E30),2)</f>
        <v>0</v>
      </c>
      <c r="F31" s="50">
        <f>ROUND(SUM(F28:F30),2)</f>
        <v>13959.63</v>
      </c>
    </row>
    <row r="32" spans="1:6" ht="15">
      <c r="A32" s="5">
        <f t="shared" si="0"/>
        <v>17</v>
      </c>
      <c r="B32" s="21" t="s">
        <v>34</v>
      </c>
      <c r="C32" s="48">
        <f>C31-C26</f>
        <v>-1066.7399999999907</v>
      </c>
      <c r="D32" s="48">
        <f>D31-D26</f>
        <v>0</v>
      </c>
      <c r="E32" s="48">
        <f>E31-E26</f>
        <v>0</v>
      </c>
      <c r="F32" s="48">
        <f>F31-F26</f>
        <v>-599.630000000001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157045.84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13959.63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157045.84</v>
      </c>
      <c r="D36" s="54">
        <f>SUM(D33:D35)</f>
        <v>0</v>
      </c>
      <c r="E36" s="54">
        <f>SUM(E33:E35)</f>
        <v>0</v>
      </c>
      <c r="F36" s="54">
        <f>SUM(F33:F35)</f>
        <v>13959.63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-0.09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-0.09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157045.75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13959.63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157045.75</v>
      </c>
      <c r="D48" s="50">
        <f>SUM(D45:D47)</f>
        <v>0</v>
      </c>
      <c r="E48" s="50">
        <f>SUM(E45:E47)</f>
        <v>0</v>
      </c>
      <c r="F48" s="50">
        <f>SUM(F45:F47)</f>
        <v>13959.63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7221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7216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4" sqref="F4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17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Downtown</v>
      </c>
      <c r="D9" s="16"/>
      <c r="E9" s="17"/>
      <c r="F9" s="18" t="str">
        <f>VLOOKUP(F2,'Raw Data'!A:AO,6,FALSE)</f>
        <v>200008540</v>
      </c>
    </row>
    <row r="10" spans="1:6" ht="15">
      <c r="A10" s="13">
        <v>2</v>
      </c>
      <c r="B10" s="14" t="s">
        <v>5</v>
      </c>
      <c r="C10" s="8" t="str">
        <f>VLOOKUP(F2,'Raw Data'!A:AO,5,FALSE)</f>
        <v>Eugene School District 4J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200243000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9488276037</v>
      </c>
      <c r="D15" s="30"/>
      <c r="E15" s="30"/>
      <c r="F15" s="31">
        <f>SUM(C15:E15)</f>
        <v>9488276037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154980036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31386991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123593045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0.0047485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0.0005808</v>
      </c>
    </row>
    <row r="26" spans="1:6" ht="15">
      <c r="A26" s="5">
        <f>1+A25</f>
        <v>11</v>
      </c>
      <c r="B26" s="21" t="s">
        <v>28</v>
      </c>
      <c r="C26" s="48">
        <f>ROUND(C25*$C$21,2)</f>
        <v>586881.57</v>
      </c>
      <c r="D26" s="48">
        <f>ROUND(D25*$C$21,2)</f>
        <v>0</v>
      </c>
      <c r="E26" s="48">
        <f>ROUND(E25*$C$21,2)</f>
        <v>0</v>
      </c>
      <c r="F26" s="48">
        <f>ROUND(F25*$C$21,2)</f>
        <v>71782.84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6.18E-05</v>
      </c>
      <c r="D27" s="47">
        <f>ROUNDDOWN(D26/$F$15,7)</f>
        <v>0</v>
      </c>
      <c r="E27" s="47">
        <f>ROUNDDOWN(E26/$F$15,7)</f>
        <v>0</v>
      </c>
      <c r="F27" s="47">
        <f>ROUNDDOWN(F26/$F$15,7)</f>
        <v>7.5E-06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586375.46</v>
      </c>
      <c r="D28" s="48">
        <f>ROUND(D27*$C$15,2)</f>
        <v>0</v>
      </c>
      <c r="E28" s="48">
        <f>ROUND(E27*$C$15,2)</f>
        <v>0</v>
      </c>
      <c r="F28" s="48">
        <f>ROUND(F27*$C$15,2)</f>
        <v>71162.07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586375.46</v>
      </c>
      <c r="D31" s="50">
        <f>ROUND(SUM(D28:D30),2)</f>
        <v>0</v>
      </c>
      <c r="E31" s="50">
        <f>ROUND(SUM(E28:E30),2)</f>
        <v>0</v>
      </c>
      <c r="F31" s="50">
        <f>ROUND(SUM(F28:F30),2)</f>
        <v>71162.07</v>
      </c>
    </row>
    <row r="32" spans="1:6" ht="15">
      <c r="A32" s="5">
        <f t="shared" si="0"/>
        <v>17</v>
      </c>
      <c r="B32" s="21" t="s">
        <v>34</v>
      </c>
      <c r="C32" s="48">
        <f>C31-C26</f>
        <v>-506.10999999998603</v>
      </c>
      <c r="D32" s="48">
        <f>D31-D26</f>
        <v>0</v>
      </c>
      <c r="E32" s="48">
        <f>E31-E26</f>
        <v>0</v>
      </c>
      <c r="F32" s="48">
        <f>F31-F26</f>
        <v>-620.7699999999895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586375.46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71162.07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586375.46</v>
      </c>
      <c r="D36" s="54">
        <f>SUM(D33:D35)</f>
        <v>0</v>
      </c>
      <c r="E36" s="54">
        <f>SUM(E33:E35)</f>
        <v>0</v>
      </c>
      <c r="F36" s="54">
        <f>SUM(F33:F35)</f>
        <v>71162.07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-0.5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-0.03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-0.5</v>
      </c>
      <c r="D44" s="54">
        <f>SUM(D41:D43)</f>
        <v>0</v>
      </c>
      <c r="E44" s="54">
        <f>SUM(E41:E43)</f>
        <v>0</v>
      </c>
      <c r="F44" s="54">
        <f>SUM(F41:F43)</f>
        <v>-0.03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586374.96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71162.04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586374.96</v>
      </c>
      <c r="D48" s="50">
        <f>SUM(D45:D47)</f>
        <v>0</v>
      </c>
      <c r="E48" s="50">
        <f>SUM(E45:E47)</f>
        <v>0</v>
      </c>
      <c r="F48" s="50">
        <f>SUM(F45:F47)</f>
        <v>71162.04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7222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7220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18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Downtown</v>
      </c>
      <c r="D9" s="16"/>
      <c r="E9" s="17"/>
      <c r="F9" s="18" t="str">
        <f>VLOOKUP(F2,'Raw Data'!A:AO,6,FALSE)</f>
        <v>200008540</v>
      </c>
    </row>
    <row r="10" spans="1:6" ht="15">
      <c r="A10" s="13">
        <v>2</v>
      </c>
      <c r="B10" s="14" t="s">
        <v>5</v>
      </c>
      <c r="C10" s="8" t="str">
        <f>VLOOKUP(F2,'Raw Data'!A:AO,5,FALSE)</f>
        <v>Lane Community College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200606000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11622267131</v>
      </c>
      <c r="D15" s="30"/>
      <c r="E15" s="30"/>
      <c r="F15" s="31">
        <f>SUM(C15:E15)</f>
        <v>11622267131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154980036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31386991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123593045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0.0006191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76516.45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6.5E-06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75544.74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75544.74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-971.7099999999919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75544.74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75544.74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-0.02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-0.02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75544.72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75544.72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7219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19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Downtown</v>
      </c>
      <c r="D9" s="16"/>
      <c r="E9" s="17"/>
      <c r="F9" s="18" t="str">
        <f>VLOOKUP(F2,'Raw Data'!A:AO,6,FALSE)</f>
        <v>200008540</v>
      </c>
    </row>
    <row r="10" spans="1:6" ht="15">
      <c r="A10" s="13">
        <v>2</v>
      </c>
      <c r="B10" s="14" t="s">
        <v>5</v>
      </c>
      <c r="C10" s="8" t="str">
        <f>VLOOKUP(F2,'Raw Data'!A:AO,5,FALSE)</f>
        <v>Lane ESD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200520100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11622267131</v>
      </c>
      <c r="D15" s="30"/>
      <c r="E15" s="30"/>
      <c r="F15" s="31">
        <f>SUM(C15:E15)</f>
        <v>11622267131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154980036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31386991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123593045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0.0002232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27585.97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2.3E-06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26731.21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26731.21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-854.760000000002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26731.21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26731.21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-0.01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-0.01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26731.2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26731.2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7217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C32" activeCellId="1" sqref="A1 C32:F32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Coburg Urban Renewal District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Coburg Industrial Area</v>
      </c>
      <c r="D9" s="16"/>
      <c r="E9" s="17"/>
      <c r="F9" s="18" t="str">
        <f>VLOOKUP(F2,'Raw Data'!A:AO,6,FALSE)</f>
        <v>200008715</v>
      </c>
    </row>
    <row r="10" spans="1:6" ht="15">
      <c r="A10" s="13">
        <v>2</v>
      </c>
      <c r="B10" s="14" t="s">
        <v>5</v>
      </c>
      <c r="C10" s="8" t="str">
        <f>VLOOKUP(F2,'Raw Data'!A:AO,5,FALSE)</f>
        <v>Lane Community College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200606000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159769263</v>
      </c>
      <c r="D15" s="30"/>
      <c r="E15" s="30"/>
      <c r="F15" s="31">
        <f>SUM(C15:E15)</f>
        <v>159769263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39267623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15462696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23804927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0.0006191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0.0002343</v>
      </c>
    </row>
    <row r="26" spans="1:6" ht="15">
      <c r="A26" s="5">
        <f>1+A25</f>
        <v>11</v>
      </c>
      <c r="B26" s="21" t="s">
        <v>28</v>
      </c>
      <c r="C26" s="48">
        <f>ROUND(C25*$C$21,2)</f>
        <v>14737.63</v>
      </c>
      <c r="D26" s="48">
        <f>ROUND(D25*$C$21,2)</f>
        <v>0</v>
      </c>
      <c r="E26" s="48">
        <f>ROUND(E25*$C$21,2)</f>
        <v>0</v>
      </c>
      <c r="F26" s="48">
        <f>ROUND(F25*$C$21,2)</f>
        <v>5577.49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9.22E-05</v>
      </c>
      <c r="D27" s="47">
        <f>ROUNDDOWN(D26/$F$15,7)</f>
        <v>0</v>
      </c>
      <c r="E27" s="47">
        <f>ROUNDDOWN(E26/$F$15,7)</f>
        <v>0</v>
      </c>
      <c r="F27" s="47">
        <f>ROUNDDOWN(F26/$F$15,7)</f>
        <v>3.49E-05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14730.73</v>
      </c>
      <c r="D28" s="48">
        <f>ROUND(D27*$C$15,2)</f>
        <v>0</v>
      </c>
      <c r="E28" s="48">
        <f>ROUND(E27*$C$15,2)</f>
        <v>0</v>
      </c>
      <c r="F28" s="48">
        <f>ROUND(F27*$C$15,2)</f>
        <v>5575.95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14730.73</v>
      </c>
      <c r="D31" s="50">
        <f>ROUND(SUM(D28:D30),2)</f>
        <v>0</v>
      </c>
      <c r="E31" s="50">
        <f>ROUND(SUM(E28:E30),2)</f>
        <v>0</v>
      </c>
      <c r="F31" s="50">
        <f>ROUND(SUM(F28:F30),2)</f>
        <v>5575.95</v>
      </c>
    </row>
    <row r="32" spans="1:6" ht="15">
      <c r="A32" s="5">
        <f t="shared" si="0"/>
        <v>17</v>
      </c>
      <c r="B32" s="21" t="s">
        <v>34</v>
      </c>
      <c r="C32" s="48">
        <f>C31-C26</f>
        <v>-6.899999999999636</v>
      </c>
      <c r="D32" s="48">
        <f>D31-D26</f>
        <v>0</v>
      </c>
      <c r="E32" s="48">
        <f>E31-E26</f>
        <v>0</v>
      </c>
      <c r="F32" s="48">
        <f>F31-F26</f>
        <v>-1.5399999999999636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14730.73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5575.95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14730.73</v>
      </c>
      <c r="D36" s="54">
        <f>SUM(D33:D35)</f>
        <v>0</v>
      </c>
      <c r="E36" s="54">
        <f>SUM(E33:E35)</f>
        <v>0</v>
      </c>
      <c r="F36" s="54">
        <f>SUM(F33:F35)</f>
        <v>5575.95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-0.01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-0.01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14730.72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5575.95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14730.72</v>
      </c>
      <c r="D48" s="50">
        <f>SUM(D45:D47)</f>
        <v>0</v>
      </c>
      <c r="E48" s="50">
        <f>SUM(E45:E47)</f>
        <v>0</v>
      </c>
      <c r="F48" s="50">
        <f>SUM(F45:F47)</f>
        <v>5575.95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7265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7262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20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Veneta Urban Renewal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Veneta Urban Renewal Downtown</v>
      </c>
      <c r="D9" s="16"/>
      <c r="E9" s="17"/>
      <c r="F9" s="18" t="str">
        <f>VLOOKUP(F2,'Raw Data'!A:AO,6,FALSE)</f>
        <v>200008710</v>
      </c>
    </row>
    <row r="10" spans="1:6" ht="15">
      <c r="A10" s="13">
        <v>2</v>
      </c>
      <c r="B10" s="14" t="s">
        <v>5</v>
      </c>
      <c r="C10" s="8" t="str">
        <f>VLOOKUP(F2,'Raw Data'!A:AO,5,FALSE)</f>
        <v>Lane County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243650543</v>
      </c>
      <c r="D15" s="30"/>
      <c r="E15" s="30"/>
      <c r="F15" s="31">
        <f>SUM(C15:E15)</f>
        <v>243650543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45740514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7028892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38711622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0.0012793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0.0001178</v>
      </c>
    </row>
    <row r="26" spans="1:6" ht="15">
      <c r="A26" s="5">
        <f>1+A25</f>
        <v>11</v>
      </c>
      <c r="B26" s="21" t="s">
        <v>28</v>
      </c>
      <c r="C26" s="48">
        <f>ROUND(C25*$C$21,2)</f>
        <v>49523.78</v>
      </c>
      <c r="D26" s="48">
        <f>ROUND(D25*$C$21,2)</f>
        <v>0</v>
      </c>
      <c r="E26" s="48">
        <f>ROUND(E25*$C$21,2)</f>
        <v>0</v>
      </c>
      <c r="F26" s="48">
        <f>ROUND(F25*$C$21,2)</f>
        <v>4560.23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0.0002032</v>
      </c>
      <c r="D27" s="47">
        <f>ROUNDDOWN(D26/$F$15,7)</f>
        <v>0</v>
      </c>
      <c r="E27" s="47">
        <f>ROUNDDOWN(E26/$F$15,7)</f>
        <v>0</v>
      </c>
      <c r="F27" s="47">
        <f>ROUNDDOWN(F26/$F$15,7)</f>
        <v>1.87E-05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49509.79</v>
      </c>
      <c r="D28" s="48">
        <f>ROUND(D27*$C$15,2)</f>
        <v>0</v>
      </c>
      <c r="E28" s="48">
        <f>ROUND(E27*$C$15,2)</f>
        <v>0</v>
      </c>
      <c r="F28" s="48">
        <f>ROUND(F27*$C$15,2)</f>
        <v>4556.27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49509.79</v>
      </c>
      <c r="D31" s="50">
        <f>ROUND(SUM(D28:D30),2)</f>
        <v>0</v>
      </c>
      <c r="E31" s="50">
        <f>ROUND(SUM(E28:E30),2)</f>
        <v>0</v>
      </c>
      <c r="F31" s="50">
        <f>ROUND(SUM(F28:F30),2)</f>
        <v>4556.27</v>
      </c>
    </row>
    <row r="32" spans="1:6" ht="15">
      <c r="A32" s="5">
        <f t="shared" si="0"/>
        <v>17</v>
      </c>
      <c r="B32" s="21" t="s">
        <v>34</v>
      </c>
      <c r="C32" s="48">
        <f>C31-C26</f>
        <v>-13.989999999997963</v>
      </c>
      <c r="D32" s="48">
        <f>D31-D26</f>
        <v>0</v>
      </c>
      <c r="E32" s="48">
        <f>E31-E26</f>
        <v>0</v>
      </c>
      <c r="F32" s="48">
        <f>F31-F26</f>
        <v>-3.959999999999127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49509.79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4556.27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49509.79</v>
      </c>
      <c r="D36" s="54">
        <f>SUM(D33:D35)</f>
        <v>0</v>
      </c>
      <c r="E36" s="54">
        <f>SUM(E33:E35)</f>
        <v>0</v>
      </c>
      <c r="F36" s="54">
        <f>SUM(F33:F35)</f>
        <v>4556.27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-145.67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-13.35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-145.67</v>
      </c>
      <c r="D44" s="54">
        <f>SUM(D41:D43)</f>
        <v>0</v>
      </c>
      <c r="E44" s="54">
        <f>SUM(E41:E43)</f>
        <v>0</v>
      </c>
      <c r="F44" s="54">
        <f>SUM(F41:F43)</f>
        <v>-13.35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49364.12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4542.92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49364.12</v>
      </c>
      <c r="D48" s="50">
        <f>SUM(D45:D47)</f>
        <v>0</v>
      </c>
      <c r="E48" s="50">
        <f>SUM(E45:E47)</f>
        <v>0</v>
      </c>
      <c r="F48" s="50">
        <f>SUM(F45:F47)</f>
        <v>4542.92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7242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7237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21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Veneta Urban Renewal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Veneta Urban Renewal Downtown</v>
      </c>
      <c r="D9" s="16"/>
      <c r="E9" s="17"/>
      <c r="F9" s="18" t="str">
        <f>VLOOKUP(F2,'Raw Data'!A:AO,6,FALSE)</f>
        <v>200008710</v>
      </c>
    </row>
    <row r="10" spans="1:6" ht="15">
      <c r="A10" s="13">
        <v>2</v>
      </c>
      <c r="B10" s="14" t="s">
        <v>5</v>
      </c>
      <c r="C10" s="8" t="str">
        <f>VLOOKUP(F2,'Raw Data'!A:AO,5,FALSE)</f>
        <v>City of Veneta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203230000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243553273</v>
      </c>
      <c r="D15" s="30"/>
      <c r="E15" s="30"/>
      <c r="F15" s="31">
        <f>SUM(C15:E15)</f>
        <v>243553273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45643244</v>
      </c>
      <c r="D19" s="37"/>
      <c r="E19" s="38"/>
      <c r="F19" s="38"/>
    </row>
    <row r="20" spans="1:6" ht="15">
      <c r="A20" s="5">
        <v>8</v>
      </c>
      <c r="B20" s="21" t="s">
        <v>17</v>
      </c>
      <c r="C20" s="39">
        <f>VLOOKUP(F2,'Raw Data'!A:AO,16,FALSE)</f>
        <v>6993038</v>
      </c>
      <c r="D20" s="82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38650206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0.0056364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0.000316</v>
      </c>
    </row>
    <row r="26" spans="1:6" ht="15">
      <c r="A26" s="5">
        <f>1+A25</f>
        <v>11</v>
      </c>
      <c r="B26" s="21" t="s">
        <v>28</v>
      </c>
      <c r="C26" s="48">
        <f>ROUND(C25*$C$21,2)</f>
        <v>217848.02</v>
      </c>
      <c r="D26" s="48">
        <f>ROUND(D25*$C$21,2)</f>
        <v>0</v>
      </c>
      <c r="E26" s="48">
        <f>ROUND(E25*$C$21,2)</f>
        <v>0</v>
      </c>
      <c r="F26" s="48">
        <f>ROUND(F25*$C$21,2)</f>
        <v>12213.47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0.0008944</v>
      </c>
      <c r="D27" s="47">
        <f>ROUNDDOWN(D26/$F$15,7)</f>
        <v>0</v>
      </c>
      <c r="E27" s="47">
        <f>ROUNDDOWN(E26/$F$15,7)</f>
        <v>0</v>
      </c>
      <c r="F27" s="47">
        <f>ROUNDDOWN(F26/$F$15,7)</f>
        <v>5.01E-05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217834.05</v>
      </c>
      <c r="D28" s="48">
        <f>ROUND(D27*$C$15,2)</f>
        <v>0</v>
      </c>
      <c r="E28" s="48">
        <f>ROUND(E27*$C$15,2)</f>
        <v>0</v>
      </c>
      <c r="F28" s="48">
        <f>ROUND(F27*$C$15,2)</f>
        <v>12202.02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217834.05</v>
      </c>
      <c r="D31" s="50">
        <f>ROUND(SUM(D28:D30),2)</f>
        <v>0</v>
      </c>
      <c r="E31" s="50">
        <f>ROUND(SUM(E28:E30),2)</f>
        <v>0</v>
      </c>
      <c r="F31" s="50">
        <f>ROUND(SUM(F28:F30),2)</f>
        <v>12202.02</v>
      </c>
    </row>
    <row r="32" spans="1:6" ht="15">
      <c r="A32" s="5">
        <f t="shared" si="0"/>
        <v>17</v>
      </c>
      <c r="B32" s="21" t="s">
        <v>34</v>
      </c>
      <c r="C32" s="48">
        <f>C31-C26</f>
        <v>-13.970000000001164</v>
      </c>
      <c r="D32" s="48">
        <f>D31-D26</f>
        <v>0</v>
      </c>
      <c r="E32" s="48">
        <f>E31-E26</f>
        <v>0</v>
      </c>
      <c r="F32" s="48">
        <f>F31-F26</f>
        <v>-11.449999999998909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217834.05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12202.02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217834.05</v>
      </c>
      <c r="D36" s="54">
        <f>SUM(D33:D35)</f>
        <v>0</v>
      </c>
      <c r="E36" s="54">
        <f>SUM(E33:E35)</f>
        <v>0</v>
      </c>
      <c r="F36" s="54">
        <f>SUM(F33:F35)</f>
        <v>12202.02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-640.53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-35.79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-640.53</v>
      </c>
      <c r="D44" s="54">
        <f>SUM(D41:D43)</f>
        <v>0</v>
      </c>
      <c r="E44" s="54">
        <f>SUM(E41:E43)</f>
        <v>0</v>
      </c>
      <c r="F44" s="54">
        <f>SUM(F41:F43)</f>
        <v>-35.79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217193.52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12166.23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217193.52</v>
      </c>
      <c r="D48" s="50">
        <f>SUM(D45:D47)</f>
        <v>0</v>
      </c>
      <c r="E48" s="50">
        <f>SUM(E45:E47)</f>
        <v>0</v>
      </c>
      <c r="F48" s="50">
        <f>SUM(F45:F47)</f>
        <v>12166.23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7246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7239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22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Veneta Urban Renewal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Veneta Urban Renewal Downtown</v>
      </c>
      <c r="D9" s="16"/>
      <c r="E9" s="17"/>
      <c r="F9" s="18" t="str">
        <f>VLOOKUP(F2,'Raw Data'!A:AO,6,FALSE)</f>
        <v>200008710</v>
      </c>
    </row>
    <row r="10" spans="1:6" ht="15">
      <c r="A10" s="13">
        <v>2</v>
      </c>
      <c r="B10" s="14" t="s">
        <v>5</v>
      </c>
      <c r="C10" s="8" t="str">
        <f>VLOOKUP(F2,'Raw Data'!A:AO,5,FALSE)</f>
        <v>Fern Ridge School District 28J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200245000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243650543</v>
      </c>
      <c r="D15" s="30"/>
      <c r="E15" s="30"/>
      <c r="F15" s="31">
        <f>SUM(C15:E15)</f>
        <v>243650543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45740514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7028892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38711622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0.004824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0.0020175</v>
      </c>
    </row>
    <row r="26" spans="1:6" ht="15">
      <c r="A26" s="5">
        <f>1+A25</f>
        <v>11</v>
      </c>
      <c r="B26" s="21" t="s">
        <v>28</v>
      </c>
      <c r="C26" s="48">
        <f>ROUND(C25*$C$21,2)</f>
        <v>186744.86</v>
      </c>
      <c r="D26" s="48">
        <f>ROUND(D25*$C$21,2)</f>
        <v>0</v>
      </c>
      <c r="E26" s="48">
        <f>ROUND(E25*$C$21,2)</f>
        <v>0</v>
      </c>
      <c r="F26" s="48">
        <f>ROUND(F25*$C$21,2)</f>
        <v>78100.7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0.0007664</v>
      </c>
      <c r="D27" s="47">
        <f>ROUNDDOWN(D26/$F$15,7)</f>
        <v>0</v>
      </c>
      <c r="E27" s="47">
        <f>ROUNDDOWN(E26/$F$15,7)</f>
        <v>0</v>
      </c>
      <c r="F27" s="47">
        <f>ROUNDDOWN(F26/$F$15,7)</f>
        <v>0.0003205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186733.78</v>
      </c>
      <c r="D28" s="48">
        <f>ROUND(D27*$C$15,2)</f>
        <v>0</v>
      </c>
      <c r="E28" s="48">
        <f>ROUND(E27*$C$15,2)</f>
        <v>0</v>
      </c>
      <c r="F28" s="48">
        <f>ROUND(F27*$C$15,2)</f>
        <v>78090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186733.78</v>
      </c>
      <c r="D31" s="50">
        <f>ROUND(SUM(D28:D30),2)</f>
        <v>0</v>
      </c>
      <c r="E31" s="50">
        <f>ROUND(SUM(E28:E30),2)</f>
        <v>0</v>
      </c>
      <c r="F31" s="50">
        <f>ROUND(SUM(F28:F30),2)</f>
        <v>78090</v>
      </c>
    </row>
    <row r="32" spans="1:6" ht="15">
      <c r="A32" s="5">
        <f t="shared" si="0"/>
        <v>17</v>
      </c>
      <c r="B32" s="21" t="s">
        <v>34</v>
      </c>
      <c r="C32" s="48">
        <f>C31-C26</f>
        <v>-11.079999999987194</v>
      </c>
      <c r="D32" s="48">
        <f>D31-D26</f>
        <v>0</v>
      </c>
      <c r="E32" s="48">
        <f>E31-E26</f>
        <v>0</v>
      </c>
      <c r="F32" s="48">
        <f>F31-F26</f>
        <v>-10.69999999999709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186733.78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78090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186733.78</v>
      </c>
      <c r="D36" s="54">
        <f>SUM(D33:D35)</f>
        <v>0</v>
      </c>
      <c r="E36" s="54">
        <f>SUM(E33:E35)</f>
        <v>0</v>
      </c>
      <c r="F36" s="54">
        <f>SUM(F33:F35)</f>
        <v>78090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-548.9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-229.57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-548.9</v>
      </c>
      <c r="D44" s="54">
        <f>SUM(D41:D43)</f>
        <v>0</v>
      </c>
      <c r="E44" s="54">
        <f>SUM(E41:E43)</f>
        <v>0</v>
      </c>
      <c r="F44" s="54">
        <f>SUM(F41:F43)</f>
        <v>-229.57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186184.88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77860.43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186184.88</v>
      </c>
      <c r="D48" s="50">
        <f>SUM(D45:D47)</f>
        <v>0</v>
      </c>
      <c r="E48" s="50">
        <f>SUM(E45:E47)</f>
        <v>0</v>
      </c>
      <c r="F48" s="50">
        <f>SUM(F45:F47)</f>
        <v>77860.43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7245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7244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23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Veneta Urban Renewal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Veneta Urban Renewal Downtown</v>
      </c>
      <c r="D9" s="16"/>
      <c r="E9" s="17"/>
      <c r="F9" s="18" t="str">
        <f>VLOOKUP(F2,'Raw Data'!A:AO,6,FALSE)</f>
        <v>200008710</v>
      </c>
    </row>
    <row r="10" spans="1:6" ht="15">
      <c r="A10" s="13">
        <v>2</v>
      </c>
      <c r="B10" s="14" t="s">
        <v>5</v>
      </c>
      <c r="C10" s="8" t="str">
        <f>VLOOKUP(F2,'Raw Data'!A:AO,5,FALSE)</f>
        <v>Lane Fire District #1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200049500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243241075</v>
      </c>
      <c r="D15" s="30"/>
      <c r="E15" s="30"/>
      <c r="F15" s="31">
        <f>SUM(C15:E15)</f>
        <v>243241075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45659857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7005930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38653927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0.0019848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76720.31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0.0003154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76718.24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76718.24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-2.069999999992433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76718.24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76718.24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-225.99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-225.99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76492.25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76492.25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7243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4" sqref="F4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24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Veneta Urban Renewal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Veneta Urban Renewal Downtown</v>
      </c>
      <c r="D9" s="16"/>
      <c r="E9" s="17"/>
      <c r="F9" s="18" t="str">
        <f>VLOOKUP(F2,'Raw Data'!A:AO,6,FALSE)</f>
        <v>200008710</v>
      </c>
    </row>
    <row r="10" spans="1:6" ht="15">
      <c r="A10" s="13">
        <v>2</v>
      </c>
      <c r="B10" s="14" t="s">
        <v>5</v>
      </c>
      <c r="C10" s="8" t="str">
        <f>VLOOKUP(F2,'Raw Data'!A:AO,5,FALSE)</f>
        <v>Lane Community College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200606000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243650543</v>
      </c>
      <c r="D15" s="30"/>
      <c r="E15" s="30"/>
      <c r="F15" s="31">
        <f>SUM(C15:E15)</f>
        <v>243650543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45740514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7028892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38711622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0.0006191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23966.37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9.83E-05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23950.85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23950.85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-15.520000000000437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23950.85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23950.85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-70.33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-70.33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23880.52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23880.52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7241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25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Veneta Urban Renewal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Veneta Urban Renewal Downtown</v>
      </c>
      <c r="D9" s="16"/>
      <c r="E9" s="17"/>
      <c r="F9" s="18" t="str">
        <f>VLOOKUP(F2,'Raw Data'!A:AO,6,FALSE)</f>
        <v>200008710</v>
      </c>
    </row>
    <row r="10" spans="1:6" ht="15">
      <c r="A10" s="13">
        <v>2</v>
      </c>
      <c r="B10" s="14" t="s">
        <v>5</v>
      </c>
      <c r="C10" s="8" t="str">
        <f>VLOOKUP(F2,'Raw Data'!A:AO,5,FALSE)</f>
        <v>Lane ESD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200520100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243650543</v>
      </c>
      <c r="D15" s="30"/>
      <c r="E15" s="30"/>
      <c r="F15" s="31">
        <f>SUM(C15:E15)</f>
        <v>243650543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45740514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7028892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38711622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0.0002232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8640.43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3.54E-05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8625.23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8625.23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-15.200000000000728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8625.23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8625.23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-25.32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-25.32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8599.91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8599.91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7238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0">
      <selection activeCell="C21" sqref="C2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26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Veneta Urban Renewal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Veneta Urban Renewal Downtown</v>
      </c>
      <c r="D9" s="16"/>
      <c r="E9" s="17"/>
      <c r="F9" s="18" t="str">
        <f>VLOOKUP(F2,'Raw Data'!A:AO,6,FALSE)</f>
        <v>200008710</v>
      </c>
    </row>
    <row r="10" spans="1:6" ht="15">
      <c r="A10" s="13">
        <v>2</v>
      </c>
      <c r="B10" s="14" t="s">
        <v>5</v>
      </c>
      <c r="C10" s="8" t="str">
        <f>VLOOKUP(F2,'Raw Data'!A:AO,5,FALSE)</f>
        <v>Fern Ridge Library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200009180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243650543</v>
      </c>
      <c r="D15" s="30"/>
      <c r="E15" s="30"/>
      <c r="F15" s="31">
        <f>SUM(C15:E15)</f>
        <v>243650543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45740514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7028892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38711622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0.0003824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14803.32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6.07E-05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14789.59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14789.59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-13.729999999999563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14789.59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14789.59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-43.4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-43.4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14746.19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14746.19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7240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27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Lane County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3777697842</v>
      </c>
      <c r="D15" s="30"/>
      <c r="E15" s="30"/>
      <c r="F15" s="31">
        <f>SUM(C15:E15)</f>
        <v>3777697842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126462146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105384196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21077950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0.0012793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0.0001178</v>
      </c>
    </row>
    <row r="26" spans="1:6" ht="15">
      <c r="A26" s="5">
        <f>1+A25</f>
        <v>11</v>
      </c>
      <c r="B26" s="21" t="s">
        <v>28</v>
      </c>
      <c r="C26" s="48">
        <f>ROUND(C25*$C$21,2)</f>
        <v>26965.02</v>
      </c>
      <c r="D26" s="48">
        <f>ROUND(D25*$C$21,2)</f>
        <v>0</v>
      </c>
      <c r="E26" s="48">
        <f>ROUND(E25*$C$21,2)</f>
        <v>0</v>
      </c>
      <c r="F26" s="48">
        <f>ROUND(F25*$C$21,2)</f>
        <v>2482.98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7.1E-06</v>
      </c>
      <c r="D27" s="47">
        <f>ROUNDDOWN(D26/$F$15,7)</f>
        <v>0</v>
      </c>
      <c r="E27" s="47">
        <f>ROUNDDOWN(E26/$F$15,7)</f>
        <v>0</v>
      </c>
      <c r="F27" s="47">
        <f>ROUNDDOWN(F26/$F$15,7)</f>
        <v>6E-07</v>
      </c>
    </row>
    <row r="28" spans="1:6" ht="15">
      <c r="A28" s="5">
        <f t="shared" si="0"/>
        <v>13</v>
      </c>
      <c r="B28" s="21" t="s">
        <v>30</v>
      </c>
      <c r="C28" s="48">
        <f>ROUND(C27*$C$15,2)</f>
        <v>26821.65</v>
      </c>
      <c r="D28" s="48">
        <f>ROUND(D27*$C$15,2)</f>
        <v>0</v>
      </c>
      <c r="E28" s="48">
        <f>ROUND(E27*$C$15,2)</f>
        <v>0</v>
      </c>
      <c r="F28" s="48">
        <f>ROUND(F27*$C$15,2)</f>
        <v>2266.62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26821.65</v>
      </c>
      <c r="D31" s="50">
        <f>ROUND(SUM(D28:D30),2)</f>
        <v>0</v>
      </c>
      <c r="E31" s="50">
        <f>ROUND(SUM(E28:E30),2)</f>
        <v>0</v>
      </c>
      <c r="F31" s="50">
        <f>ROUND(SUM(F28:F30),2)</f>
        <v>2266.62</v>
      </c>
    </row>
    <row r="32" spans="1:6" ht="15">
      <c r="A32" s="5">
        <f t="shared" si="0"/>
        <v>17</v>
      </c>
      <c r="B32" s="21" t="s">
        <v>34</v>
      </c>
      <c r="C32" s="48">
        <f>C31-C26</f>
        <v>-143.36999999999898</v>
      </c>
      <c r="D32" s="48">
        <f>D31-D26</f>
        <v>0</v>
      </c>
      <c r="E32" s="48">
        <f>E31-E26</f>
        <v>0</v>
      </c>
      <c r="F32" s="48">
        <f>F31-F26</f>
        <v>-216.36000000000013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26821.65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2266.62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26821.65</v>
      </c>
      <c r="D36" s="54">
        <f>SUM(D33:D35)</f>
        <v>0</v>
      </c>
      <c r="E36" s="54">
        <f>SUM(E33:E35)</f>
        <v>0</v>
      </c>
      <c r="F36" s="54">
        <f>SUM(F33:F35)</f>
        <v>2266.62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26821.65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2266.62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26821.65</v>
      </c>
      <c r="D48" s="50">
        <f>SUM(D45:D47)</f>
        <v>0</v>
      </c>
      <c r="E48" s="50">
        <f>SUM(E45:E47)</f>
        <v>0</v>
      </c>
      <c r="F48" s="50">
        <f>SUM(F45:F47)</f>
        <v>2266.62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7253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7249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28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Lane Community College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200606000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3777697842</v>
      </c>
      <c r="D15" s="30"/>
      <c r="E15" s="30"/>
      <c r="F15" s="31">
        <f>SUM(C15:E15)</f>
        <v>3777697842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126462146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105384196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21077950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0.0006191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13049.36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3.4E-06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12844.17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12844.17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-205.1900000000005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12844.17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12844.17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12844.17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12844.17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7252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29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Lane ESD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200520100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3777697842</v>
      </c>
      <c r="D15" s="30"/>
      <c r="E15" s="30"/>
      <c r="F15" s="31">
        <f>SUM(C15:E15)</f>
        <v>3777697842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126462146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105384196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21077950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0.0002232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4704.6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1.2E-06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4533.24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4533.24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-171.36000000000058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4533.24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4533.24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4533.24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4533.24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C32" activeCellId="1" sqref="A1 C32:F32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Coburg Urban Renewal District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Coburg Industrial Area</v>
      </c>
      <c r="D9" s="16"/>
      <c r="E9" s="17"/>
      <c r="F9" s="18" t="str">
        <f>VLOOKUP(F2,'Raw Data'!A:AO,6,FALSE)</f>
        <v>200008715</v>
      </c>
    </row>
    <row r="10" spans="1:6" ht="15">
      <c r="A10" s="13">
        <v>2</v>
      </c>
      <c r="B10" s="14" t="s">
        <v>5</v>
      </c>
      <c r="C10" s="8" t="str">
        <f>VLOOKUP(F2,'Raw Data'!A:AO,5,FALSE)</f>
        <v>Lane ESD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200520100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159769263</v>
      </c>
      <c r="D15" s="30"/>
      <c r="E15" s="30"/>
      <c r="F15" s="31">
        <f>SUM(C15:E15)</f>
        <v>159769263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39267623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15462696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23804927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0.0002232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5313.26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3.32E-05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5304.34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5304.34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-8.920000000000073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5304.34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5304.34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5304.34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5304.34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7261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30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City of Springfield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203010000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3726631985</v>
      </c>
      <c r="D15" s="30"/>
      <c r="E15" s="30"/>
      <c r="F15" s="31">
        <f>SUM(C15:E15)</f>
        <v>3726631985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75365802</v>
      </c>
      <c r="D19" s="37"/>
      <c r="E19" s="38">
        <f>0.0000277*F15</f>
        <v>103227.70598449999</v>
      </c>
      <c r="F19" s="38">
        <f>E19+22.06</f>
        <v>103249.76598449999</v>
      </c>
    </row>
    <row r="20" spans="1:6" ht="15">
      <c r="A20" s="5">
        <v>8</v>
      </c>
      <c r="B20" s="21" t="s">
        <v>17</v>
      </c>
      <c r="C20" s="30">
        <f>VLOOKUP(F2,'Raw Data'!A:AO,16,FALSE)</f>
        <v>57827815</v>
      </c>
      <c r="D20" s="37"/>
      <c r="E20" s="38"/>
      <c r="F20" s="38">
        <f>F19/C25</f>
        <v>21781272.490032274</v>
      </c>
    </row>
    <row r="21" spans="1:6" ht="15">
      <c r="A21" s="5">
        <v>9</v>
      </c>
      <c r="B21" s="21" t="s">
        <v>18</v>
      </c>
      <c r="C21" s="39">
        <f>VLOOKUP(F2,'Raw Data'!A:AO,17,FALSE)</f>
        <v>17537987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0.0047403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0.0002992</v>
      </c>
    </row>
    <row r="26" spans="1:6" ht="15">
      <c r="A26" s="5">
        <f>1+A25</f>
        <v>11</v>
      </c>
      <c r="B26" s="21" t="s">
        <v>28</v>
      </c>
      <c r="C26" s="48">
        <f>ROUND(C25*$C$21,2)</f>
        <v>83135.32</v>
      </c>
      <c r="D26" s="48">
        <f>ROUND(D25*$C$21,2)</f>
        <v>0</v>
      </c>
      <c r="E26" s="48">
        <f>ROUND(E25*$C$21,2)</f>
        <v>0</v>
      </c>
      <c r="F26" s="48">
        <f>ROUND(F25*$C$21,2)</f>
        <v>5247.37</v>
      </c>
    </row>
    <row r="27" spans="1:6" ht="15">
      <c r="A27" s="5">
        <f aca="true" t="shared" si="0" ref="A27:A48">1+A26</f>
        <v>12</v>
      </c>
      <c r="B27" s="21" t="s">
        <v>29</v>
      </c>
      <c r="C27" s="46">
        <f>ROUNDDOWN(C26/$F$15,8)</f>
        <v>2.23E-05</v>
      </c>
      <c r="D27" s="47">
        <f>ROUNDDOWN(D26/$F$15,7)</f>
        <v>0</v>
      </c>
      <c r="E27" s="47">
        <f>ROUNDDOWN(E26/$F$15,7)</f>
        <v>0</v>
      </c>
      <c r="F27" s="47">
        <f>ROUNDDOWN(F26/$F$15,7)</f>
        <v>1.4E-06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83103.89</v>
      </c>
      <c r="D28" s="48">
        <f>ROUND(D27*$C$15,2)</f>
        <v>0</v>
      </c>
      <c r="E28" s="48">
        <f>ROUND(E27*$C$15,2)</f>
        <v>0</v>
      </c>
      <c r="F28" s="48">
        <f>ROUND(F27*$C$15,2)</f>
        <v>5217.28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83103.89</v>
      </c>
      <c r="D31" s="50">
        <f>ROUND(SUM(D28:D30),2)</f>
        <v>0</v>
      </c>
      <c r="E31" s="50">
        <f>ROUND(SUM(E28:E30),2)</f>
        <v>0</v>
      </c>
      <c r="F31" s="50">
        <f>ROUND(SUM(F28:F30),2)</f>
        <v>5217.28</v>
      </c>
    </row>
    <row r="32" spans="1:6" ht="15">
      <c r="A32" s="5">
        <f t="shared" si="0"/>
        <v>17</v>
      </c>
      <c r="B32" s="21" t="s">
        <v>34</v>
      </c>
      <c r="C32" s="48">
        <f>C31-C26</f>
        <v>-31.430000000007567</v>
      </c>
      <c r="D32" s="48">
        <f>D31-D26</f>
        <v>0</v>
      </c>
      <c r="E32" s="48">
        <f>E31-E26</f>
        <v>0</v>
      </c>
      <c r="F32" s="48">
        <f>F31-F26</f>
        <v>-30.090000000000146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83103.89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5217.28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83103.89</v>
      </c>
      <c r="D36" s="54">
        <f>SUM(D33:D35)</f>
        <v>0</v>
      </c>
      <c r="E36" s="54">
        <f>SUM(E33:E35)</f>
        <v>0</v>
      </c>
      <c r="F36" s="54">
        <f>SUM(F33:F35)</f>
        <v>5217.28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-0.15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-0.15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83103.74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5217.28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83103.74</v>
      </c>
      <c r="D48" s="50">
        <f>SUM(D45:D47)</f>
        <v>0</v>
      </c>
      <c r="E48" s="50">
        <f>SUM(E45:E47)</f>
        <v>0</v>
      </c>
      <c r="F48" s="50">
        <f>SUM(F45:F47)</f>
        <v>5217.28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7255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7251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4" sqref="F4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31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Springfield School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200244000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3353002315</v>
      </c>
      <c r="D15" s="30"/>
      <c r="E15" s="30"/>
      <c r="F15" s="31">
        <f>SUM(C15:E15)</f>
        <v>3353002315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233427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208553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24874</v>
      </c>
      <c r="D21" s="83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0.0046412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0.0007332</v>
      </c>
    </row>
    <row r="26" spans="1:6" ht="15">
      <c r="A26" s="5">
        <f>1+A25</f>
        <v>11</v>
      </c>
      <c r="B26" s="21" t="s">
        <v>28</v>
      </c>
      <c r="C26" s="48">
        <f>ROUND(C25*$C$21,2)</f>
        <v>115.45</v>
      </c>
      <c r="D26" s="48">
        <f>ROUND(D25*$C$21,2)</f>
        <v>0</v>
      </c>
      <c r="E26" s="48">
        <f>ROUND(E25*$C$21,2)</f>
        <v>0</v>
      </c>
      <c r="F26" s="48">
        <f>ROUND(F25*$C$21,2)</f>
        <v>18.24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0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0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-115.45</v>
      </c>
      <c r="D32" s="48">
        <f>D31-D26</f>
        <v>0</v>
      </c>
      <c r="E32" s="48">
        <f>E31-E26</f>
        <v>0</v>
      </c>
      <c r="F32" s="48">
        <f>F31-F26</f>
        <v>-18.24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0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0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0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7247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7248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32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Eugene School District 4J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200243000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424695527</v>
      </c>
      <c r="D15" s="30"/>
      <c r="E15" s="30"/>
      <c r="F15" s="31">
        <f>SUM(C15:E15)</f>
        <v>424695527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126228719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105175643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21053076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0.0047485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0.0005808</v>
      </c>
    </row>
    <row r="26" spans="1:6" ht="15">
      <c r="A26" s="5">
        <f>1+A25</f>
        <v>11</v>
      </c>
      <c r="B26" s="21" t="s">
        <v>28</v>
      </c>
      <c r="C26" s="48">
        <f>ROUND(C25*$C$21,2)</f>
        <v>99970.53</v>
      </c>
      <c r="D26" s="48">
        <f>ROUND(D25*$C$21,2)</f>
        <v>0</v>
      </c>
      <c r="E26" s="48">
        <f>ROUND(E25*$C$21,2)</f>
        <v>0</v>
      </c>
      <c r="F26" s="48">
        <f>ROUND(F25*$C$21,2)</f>
        <v>12227.63</v>
      </c>
    </row>
    <row r="27" spans="1:6" ht="15">
      <c r="A27" s="5">
        <f aca="true" t="shared" si="0" ref="A27:A48">1+A26</f>
        <v>12</v>
      </c>
      <c r="B27" s="21" t="s">
        <v>29</v>
      </c>
      <c r="C27" s="46">
        <f>ROUNDDOWN(C26/$F$15,7)</f>
        <v>0.0002353</v>
      </c>
      <c r="D27" s="46">
        <f>ROUNDDOWN(D26/$F$15,7)</f>
        <v>0</v>
      </c>
      <c r="E27" s="46">
        <f>ROUNDDOWN(E26/$F$15,7)</f>
        <v>0</v>
      </c>
      <c r="F27" s="46">
        <f>ROUNDDOWN(F26/$F$15,7)</f>
        <v>2.87E-05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99930.86</v>
      </c>
      <c r="D28" s="48">
        <f>ROUND(D27*$C$15,2)</f>
        <v>0</v>
      </c>
      <c r="E28" s="48">
        <f>ROUND(E27*$C$15,2)</f>
        <v>0</v>
      </c>
      <c r="F28" s="48">
        <f>ROUND(F27*$C$15,2)</f>
        <v>12188.76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99930.86</v>
      </c>
      <c r="D31" s="50">
        <f>ROUND(SUM(D28:D30),2)</f>
        <v>0</v>
      </c>
      <c r="E31" s="50">
        <f>ROUND(SUM(E28:E30),2)</f>
        <v>0</v>
      </c>
      <c r="F31" s="50">
        <f>ROUND(SUM(F28:F30),2)</f>
        <v>12188.76</v>
      </c>
    </row>
    <row r="32" spans="1:6" ht="15">
      <c r="A32" s="5">
        <f t="shared" si="0"/>
        <v>17</v>
      </c>
      <c r="B32" s="21" t="s">
        <v>34</v>
      </c>
      <c r="C32" s="48">
        <f>C31-C26</f>
        <v>-39.669999999998254</v>
      </c>
      <c r="D32" s="48">
        <f>D31-D26</f>
        <v>0</v>
      </c>
      <c r="E32" s="48">
        <f>E31-E26</f>
        <v>0</v>
      </c>
      <c r="F32" s="48">
        <f>F31-F26</f>
        <v>-38.86999999999898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99930.86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12188.76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99930.86</v>
      </c>
      <c r="D36" s="54">
        <f>SUM(D33:D35)</f>
        <v>0</v>
      </c>
      <c r="E36" s="54">
        <f>SUM(E33:E35)</f>
        <v>0</v>
      </c>
      <c r="F36" s="54">
        <f>SUM(F33:F35)</f>
        <v>12188.76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-0.5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-0.04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-0.5</v>
      </c>
      <c r="D44" s="54">
        <f>SUM(D41:D43)</f>
        <v>0</v>
      </c>
      <c r="E44" s="54">
        <f>SUM(E41:E43)</f>
        <v>0</v>
      </c>
      <c r="F44" s="54">
        <f>SUM(F41:F43)</f>
        <v>-0.04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99930.36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12188.72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99930.36</v>
      </c>
      <c r="D48" s="50">
        <f>SUM(D45:D47)</f>
        <v>0</v>
      </c>
      <c r="E48" s="50">
        <f>SUM(E45:E47)</f>
        <v>0</v>
      </c>
      <c r="F48" s="50">
        <f>SUM(F45:F47)</f>
        <v>12188.72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7258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7256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33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Glenwood Water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200005490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49918124</v>
      </c>
      <c r="D15" s="30"/>
      <c r="E15" s="30"/>
      <c r="F15" s="31">
        <f>SUM(C15:E15)</f>
        <v>49918124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51520838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v>48006382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3514456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0.0041425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14558.63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6">
        <f>ROUNDDOWN(C26/$F$15,7)</f>
        <v>0.0002916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14556.12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14556.12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-2.5099999999983993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14556.12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14556.12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-0.47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-0.47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14555.65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14555.65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7259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34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Goshen RFPD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200031500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1066223</v>
      </c>
      <c r="D15" s="30"/>
      <c r="E15" s="30"/>
      <c r="F15" s="31">
        <f>SUM(C15:E15)</f>
        <v>1066223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1066223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1040716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25507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0.0017196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43.86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6">
        <f>ROUNDDOWN(C26/$F$15,7)</f>
        <v>4.11E-05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43.82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43.82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-0.03999999999999915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43.82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43.82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43.82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43.82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7257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35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Glenwood Urban Renewal District</v>
      </c>
      <c r="D9" s="16"/>
      <c r="E9" s="17"/>
      <c r="F9" s="18" t="str">
        <f>VLOOKUP(F2,'Raw Data'!A:AO,6,FALSE)</f>
        <v>200008726</v>
      </c>
    </row>
    <row r="10" spans="1:6" ht="15">
      <c r="A10" s="13">
        <v>2</v>
      </c>
      <c r="B10" s="14" t="s">
        <v>5</v>
      </c>
      <c r="C10" s="8" t="str">
        <f>VLOOKUP(F2,'Raw Data'!A:AO,5,FALSE)</f>
        <v>Willamalane Park and Rec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200001160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3777697842</v>
      </c>
      <c r="D15" s="30"/>
      <c r="E15" s="30"/>
      <c r="F15" s="31">
        <f>SUM(C15:E15)</f>
        <v>3777697842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126462146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105384196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21077950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0.0020074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42311.88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1.12E-05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42310.22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42310.22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-1.6599999999962165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42310.22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42310.22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-0.02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-0.02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42310.2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42310.2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7254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36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Springfield Downtown Urban Renewal District</v>
      </c>
      <c r="D9" s="16"/>
      <c r="E9" s="17"/>
      <c r="F9" s="18" t="str">
        <f>VLOOKUP(F2,'Raw Data'!A:AO,6,FALSE)</f>
        <v>200008728</v>
      </c>
    </row>
    <row r="10" spans="1:6" ht="15">
      <c r="A10" s="13">
        <v>2</v>
      </c>
      <c r="B10" s="14" t="s">
        <v>5</v>
      </c>
      <c r="C10" s="8" t="str">
        <f>VLOOKUP(F2,'Raw Data'!A:AO,5,FALSE)</f>
        <v>Lane County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3726631985</v>
      </c>
      <c r="D15" s="30"/>
      <c r="E15" s="30"/>
      <c r="F15" s="31">
        <f>SUM(C15:E15)</f>
        <v>3726631985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140353637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124231412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16122225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0.0012793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0.0001178</v>
      </c>
    </row>
    <row r="26" spans="1:6" ht="15">
      <c r="A26" s="5">
        <f>1+A25</f>
        <v>11</v>
      </c>
      <c r="B26" s="21" t="s">
        <v>28</v>
      </c>
      <c r="C26" s="48">
        <f>ROUND(C25*$C$21,2)</f>
        <v>20625.16</v>
      </c>
      <c r="D26" s="48">
        <f>ROUND(D25*$C$21,2)</f>
        <v>0</v>
      </c>
      <c r="E26" s="48">
        <f>ROUND(E25*$C$21,2)</f>
        <v>0</v>
      </c>
      <c r="F26" s="48">
        <f>ROUND(F25*$C$21,2)</f>
        <v>1899.2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5.5E-06</v>
      </c>
      <c r="D27" s="47">
        <f>ROUNDDOWN(D26/$F$15,7)</f>
        <v>0</v>
      </c>
      <c r="E27" s="47">
        <f>ROUNDDOWN(E26/$F$15,7)</f>
        <v>0</v>
      </c>
      <c r="F27" s="47">
        <f>ROUNDDOWN(F26/$F$15,7)</f>
        <v>5E-07</v>
      </c>
    </row>
    <row r="28" spans="1:6" ht="15">
      <c r="A28" s="5">
        <f t="shared" si="0"/>
        <v>13</v>
      </c>
      <c r="B28" s="21" t="s">
        <v>30</v>
      </c>
      <c r="C28" s="48">
        <f>ROUND(C27*$C$15,2)</f>
        <v>20496.48</v>
      </c>
      <c r="D28" s="48">
        <f>ROUND(D27*$C$15,2)</f>
        <v>0</v>
      </c>
      <c r="E28" s="48">
        <f>ROUND(E27*$C$15,2)</f>
        <v>0</v>
      </c>
      <c r="F28" s="48">
        <f>ROUND(F27*$C$15,2)</f>
        <v>1863.32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20496.48</v>
      </c>
      <c r="D31" s="50">
        <f>ROUND(SUM(D28:D30),2)</f>
        <v>0</v>
      </c>
      <c r="E31" s="50">
        <f>ROUND(SUM(E28:E30),2)</f>
        <v>0</v>
      </c>
      <c r="F31" s="50">
        <f>ROUND(SUM(F28:F30),2)</f>
        <v>1863.32</v>
      </c>
    </row>
    <row r="32" spans="1:6" ht="15">
      <c r="A32" s="5">
        <f t="shared" si="0"/>
        <v>17</v>
      </c>
      <c r="B32" s="21" t="s">
        <v>34</v>
      </c>
      <c r="C32" s="48">
        <f>C31-C26</f>
        <v>-128.6800000000003</v>
      </c>
      <c r="D32" s="48">
        <f>D31-D26</f>
        <v>0</v>
      </c>
      <c r="E32" s="48">
        <f>E31-E26</f>
        <v>0</v>
      </c>
      <c r="F32" s="48">
        <f>F31-F26</f>
        <v>-35.88000000000011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20496.48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1863.32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20496.48</v>
      </c>
      <c r="D36" s="54">
        <f>SUM(D33:D35)</f>
        <v>0</v>
      </c>
      <c r="E36" s="54">
        <f>SUM(E33:E35)</f>
        <v>0</v>
      </c>
      <c r="F36" s="54">
        <f>SUM(F33:F35)</f>
        <v>1863.32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20496.48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1863.32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20496.48</v>
      </c>
      <c r="D48" s="50">
        <f>SUM(D45:D47)</f>
        <v>0</v>
      </c>
      <c r="E48" s="50">
        <f>SUM(E45:E47)</f>
        <v>0</v>
      </c>
      <c r="F48" s="50">
        <f>SUM(F45:F47)</f>
        <v>1863.32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7288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7283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37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Springfield Downtown Urban Renewal District</v>
      </c>
      <c r="D9" s="16"/>
      <c r="E9" s="17"/>
      <c r="F9" s="18" t="str">
        <f>VLOOKUP(F2,'Raw Data'!A:AO,6,FALSE)</f>
        <v>200008728</v>
      </c>
    </row>
    <row r="10" spans="1:6" ht="15">
      <c r="A10" s="13">
        <v>2</v>
      </c>
      <c r="B10" s="14" t="s">
        <v>5</v>
      </c>
      <c r="C10" s="8" t="str">
        <f>VLOOKUP(F2,'Raw Data'!A:AO,5,FALSE)</f>
        <v>Lane Community College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200606000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3726631985</v>
      </c>
      <c r="D15" s="30"/>
      <c r="E15" s="30"/>
      <c r="F15" s="31">
        <f>SUM(C15:E15)</f>
        <v>3726631985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140353637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124231412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16122225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0.0006191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9981.27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2.6E-06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9689.24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9689.24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-292.03000000000065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9689.24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9689.24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9689.24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9689.24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7286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38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Springfield Downtown Urban Renewal District</v>
      </c>
      <c r="D9" s="16"/>
      <c r="E9" s="17"/>
      <c r="F9" s="18" t="str">
        <f>VLOOKUP(F2,'Raw Data'!A:AO,6,FALSE)</f>
        <v>200008728</v>
      </c>
    </row>
    <row r="10" spans="1:6" ht="15">
      <c r="A10" s="13">
        <v>2</v>
      </c>
      <c r="B10" s="14" t="s">
        <v>5</v>
      </c>
      <c r="C10" s="8" t="str">
        <f>VLOOKUP(F2,'Raw Data'!A:AO,5,FALSE)</f>
        <v>Lane ESD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200520100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3726631985</v>
      </c>
      <c r="D15" s="30"/>
      <c r="E15" s="30"/>
      <c r="F15" s="31">
        <f>SUM(C15:E15)</f>
        <v>3726631985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140353637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124231412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16122225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0.0002232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3598.48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9E-07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3353.97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3353.97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-244.51000000000022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3353.97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3353.97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3353.97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3353.97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7284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39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Springfield Downtown Urban Renewal District</v>
      </c>
      <c r="D9" s="16"/>
      <c r="E9" s="17"/>
      <c r="F9" s="18" t="str">
        <f>VLOOKUP(F2,'Raw Data'!A:AO,6,FALSE)</f>
        <v>200008728</v>
      </c>
    </row>
    <row r="10" spans="1:6" ht="15">
      <c r="A10" s="13">
        <v>2</v>
      </c>
      <c r="B10" s="14" t="s">
        <v>5</v>
      </c>
      <c r="C10" s="8" t="str">
        <f>VLOOKUP(F2,'Raw Data'!A:AO,5,FALSE)</f>
        <v>City of Springfield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203010000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3726631985</v>
      </c>
      <c r="D15" s="30"/>
      <c r="E15" s="30"/>
      <c r="F15" s="31">
        <f>SUM(C15:E15)</f>
        <v>3726631985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140353637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124231412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16122225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0.0047403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0.0002992</v>
      </c>
    </row>
    <row r="26" spans="1:6" ht="15">
      <c r="A26" s="5">
        <f>1+A25</f>
        <v>11</v>
      </c>
      <c r="B26" s="21" t="s">
        <v>28</v>
      </c>
      <c r="C26" s="48">
        <f>ROUND(C25*$C$21,2)</f>
        <v>76424.18</v>
      </c>
      <c r="D26" s="48">
        <f>ROUND(D25*$C$21,2)</f>
        <v>0</v>
      </c>
      <c r="E26" s="48">
        <f>ROUND(E25*$C$21,2)</f>
        <v>0</v>
      </c>
      <c r="F26" s="48">
        <f>ROUND(F25*$C$21,2)</f>
        <v>4823.77</v>
      </c>
    </row>
    <row r="27" spans="1:6" ht="15">
      <c r="A27" s="5">
        <f aca="true" t="shared" si="0" ref="A27:A48">1+A26</f>
        <v>12</v>
      </c>
      <c r="B27" s="21" t="s">
        <v>29</v>
      </c>
      <c r="C27" s="46">
        <f>ROUNDDOWN(C26/$F$15,7)</f>
        <v>2.05E-05</v>
      </c>
      <c r="D27" s="47">
        <f>ROUNDDOWN(D26/$F$15,7)</f>
        <v>0</v>
      </c>
      <c r="E27" s="47">
        <f>ROUNDDOWN(E26/$F$15,7)</f>
        <v>0</v>
      </c>
      <c r="F27" s="47">
        <f>ROUNDDOWN(F26/$F$15,7)</f>
        <v>1.2E-06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76395.96</v>
      </c>
      <c r="D28" s="48">
        <f>ROUND(D27*$C$15,2)</f>
        <v>0</v>
      </c>
      <c r="E28" s="48">
        <f>ROUND(E27*$C$15,2)</f>
        <v>0</v>
      </c>
      <c r="F28" s="48">
        <f>ROUND(F27*$C$15,2)</f>
        <v>4471.96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76395.96</v>
      </c>
      <c r="D31" s="50">
        <f>ROUND(SUM(D28:D30),2)</f>
        <v>0</v>
      </c>
      <c r="E31" s="50">
        <f>ROUND(SUM(E28:E30),2)</f>
        <v>0</v>
      </c>
      <c r="F31" s="50">
        <f>ROUND(SUM(F28:F30),2)</f>
        <v>4471.96</v>
      </c>
    </row>
    <row r="32" spans="1:6" ht="15">
      <c r="A32" s="5">
        <f t="shared" si="0"/>
        <v>17</v>
      </c>
      <c r="B32" s="21" t="s">
        <v>34</v>
      </c>
      <c r="C32" s="48">
        <f>C31-C26</f>
        <v>-28.219999999986612</v>
      </c>
      <c r="D32" s="48">
        <f>D31-D26</f>
        <v>0</v>
      </c>
      <c r="E32" s="48">
        <f>E31-E26</f>
        <v>0</v>
      </c>
      <c r="F32" s="48">
        <f>F31-F26</f>
        <v>-351.8100000000004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76395.96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4471.96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76395.96</v>
      </c>
      <c r="D36" s="54">
        <f>SUM(D33:D35)</f>
        <v>0</v>
      </c>
      <c r="E36" s="54">
        <f>SUM(E33:E35)</f>
        <v>0</v>
      </c>
      <c r="F36" s="54">
        <f>SUM(F33:F35)</f>
        <v>4471.96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-0.14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-0.14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76395.82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4471.96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76395.82</v>
      </c>
      <c r="D48" s="50">
        <f>SUM(D45:D47)</f>
        <v>0</v>
      </c>
      <c r="E48" s="50">
        <f>SUM(E45:E47)</f>
        <v>0</v>
      </c>
      <c r="F48" s="50">
        <f>SUM(F45:F47)</f>
        <v>4471.96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7290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7285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C32" activeCellId="1" sqref="A1 C32:F32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Coburg Urban Renewal District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Coburg Industrial Area</v>
      </c>
      <c r="D9" s="16"/>
      <c r="E9" s="17"/>
      <c r="F9" s="18" t="str">
        <f>VLOOKUP(F2,'Raw Data'!A:AO,6,FALSE)</f>
        <v>200008715</v>
      </c>
    </row>
    <row r="10" spans="1:6" ht="15">
      <c r="A10" s="13">
        <v>2</v>
      </c>
      <c r="B10" s="14" t="s">
        <v>5</v>
      </c>
      <c r="C10" s="8" t="str">
        <f>VLOOKUP(F2,'Raw Data'!A:AO,5,FALSE)</f>
        <v>City of Coburg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201360000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159769263</v>
      </c>
      <c r="D15" s="30"/>
      <c r="E15" s="30"/>
      <c r="F15" s="31">
        <f>SUM(C15:E15)</f>
        <v>159769263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39267623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15462696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23804927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0.0037506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89282.76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0.0005588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89279.06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89279.06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-3.6999999999970896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89279.06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89279.06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-0.06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-0.06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89279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89279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7270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4" sqref="F4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40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Springfield Downtown Urban Renewal District</v>
      </c>
      <c r="D9" s="16"/>
      <c r="E9" s="17"/>
      <c r="F9" s="18" t="str">
        <f>VLOOKUP(F2,'Raw Data'!A:AO,6,FALSE)</f>
        <v>200008728</v>
      </c>
    </row>
    <row r="10" spans="1:6" ht="15">
      <c r="A10" s="13">
        <v>2</v>
      </c>
      <c r="B10" s="14" t="s">
        <v>5</v>
      </c>
      <c r="C10" s="8" t="str">
        <f>VLOOKUP(F2,'Raw Data'!A:AO,5,FALSE)</f>
        <v>Springfield School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200244000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3352768888</v>
      </c>
      <c r="D15" s="30"/>
      <c r="E15" s="30"/>
      <c r="F15" s="31">
        <f>SUM(C15:E15)</f>
        <v>3352768888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140353637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124231412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16122225</v>
      </c>
      <c r="D21" s="83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0.0046412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0.0007332</v>
      </c>
    </row>
    <row r="26" spans="1:6" ht="15">
      <c r="A26" s="5">
        <f>1+A25</f>
        <v>11</v>
      </c>
      <c r="B26" s="21" t="s">
        <v>28</v>
      </c>
      <c r="C26" s="48">
        <f>ROUND(C25*$C$21,2)</f>
        <v>74826.47</v>
      </c>
      <c r="D26" s="48">
        <f>ROUND(D25*$C$21,2)</f>
        <v>0</v>
      </c>
      <c r="E26" s="48">
        <f>ROUND(E25*$C$21,2)</f>
        <v>0</v>
      </c>
      <c r="F26" s="48">
        <f>ROUND(F25*$C$21,2)</f>
        <v>11820.82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2.23E-05</v>
      </c>
      <c r="D27" s="47">
        <f>ROUNDDOWN(D26/$F$15,7)</f>
        <v>0</v>
      </c>
      <c r="E27" s="47">
        <f>ROUNDDOWN(E26/$F$15,7)</f>
        <v>0</v>
      </c>
      <c r="F27" s="47">
        <f>ROUNDDOWN(F26/$F$15,7)</f>
        <v>3.5E-06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74766.75</v>
      </c>
      <c r="D28" s="48">
        <f>ROUND(D27*$C$15,2)</f>
        <v>0</v>
      </c>
      <c r="E28" s="48">
        <f>ROUND(E27*$C$15,2)</f>
        <v>0</v>
      </c>
      <c r="F28" s="48">
        <f>ROUND(F27*$C$15,2)</f>
        <v>11734.69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74766.75</v>
      </c>
      <c r="D31" s="50">
        <f>ROUND(SUM(D28:D30),2)</f>
        <v>0</v>
      </c>
      <c r="E31" s="50">
        <f>ROUND(SUM(E28:E30),2)</f>
        <v>0</v>
      </c>
      <c r="F31" s="50">
        <f>ROUND(SUM(F28:F30),2)</f>
        <v>11734.69</v>
      </c>
    </row>
    <row r="32" spans="1:6" ht="15">
      <c r="A32" s="5">
        <f t="shared" si="0"/>
        <v>17</v>
      </c>
      <c r="B32" s="21" t="s">
        <v>34</v>
      </c>
      <c r="C32" s="48">
        <f>C31-C26</f>
        <v>-59.720000000001164</v>
      </c>
      <c r="D32" s="48">
        <f>D31-D26</f>
        <v>0</v>
      </c>
      <c r="E32" s="48">
        <f>E31-E26</f>
        <v>0</v>
      </c>
      <c r="F32" s="48">
        <f>F31-F26</f>
        <v>-86.1299999999992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74766.75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11734.69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74766.75</v>
      </c>
      <c r="D36" s="54">
        <f>SUM(D33:D35)</f>
        <v>0</v>
      </c>
      <c r="E36" s="54">
        <f>SUM(E33:E35)</f>
        <v>0</v>
      </c>
      <c r="F36" s="54">
        <f>SUM(F33:F35)</f>
        <v>11734.69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-0.14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-0.14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74766.61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11734.69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74766.61</v>
      </c>
      <c r="D48" s="50">
        <f>SUM(D45:D47)</f>
        <v>0</v>
      </c>
      <c r="E48" s="50">
        <f>SUM(E45:E47)</f>
        <v>0</v>
      </c>
      <c r="F48" s="50">
        <f>SUM(F45:F47)</f>
        <v>11734.69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7291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7287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41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Springfield Economic Development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Springfield Downtown Urban Renewal District</v>
      </c>
      <c r="D9" s="16"/>
      <c r="E9" s="17"/>
      <c r="F9" s="18" t="str">
        <f>VLOOKUP(F2,'Raw Data'!A:AO,6,FALSE)</f>
        <v>200008728</v>
      </c>
    </row>
    <row r="10" spans="1:6" ht="15">
      <c r="A10" s="13">
        <v>2</v>
      </c>
      <c r="B10" s="14" t="s">
        <v>5</v>
      </c>
      <c r="C10" s="8" t="str">
        <f>VLOOKUP(F2,'Raw Data'!A:AO,5,FALSE)</f>
        <v>Willamalane Park and Rec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200001160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3726631985</v>
      </c>
      <c r="D15" s="30"/>
      <c r="E15" s="30"/>
      <c r="F15" s="31">
        <f>SUM(C15:E15)</f>
        <v>3726631985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140353637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124231412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16122225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0.0020074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32363.75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8.6E-06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32049.04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32049.04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-314.7099999999991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32049.04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32049.04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32049.04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32049.04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7289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42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Lane County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200000000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0.0012793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0.0001178</v>
      </c>
    </row>
    <row r="26" spans="1:6" ht="15">
      <c r="A26" s="5">
        <f>1+A25</f>
        <v>11</v>
      </c>
      <c r="B26" s="21" t="s">
        <v>28</v>
      </c>
      <c r="C26" s="48">
        <f>ROUND(C25*$C$21,2)</f>
        <v>28685.05</v>
      </c>
      <c r="D26" s="48">
        <f>ROUND(D25*$C$21,2)</f>
        <v>0</v>
      </c>
      <c r="E26" s="48">
        <f>ROUND(E25*$C$21,2)</f>
        <v>0</v>
      </c>
      <c r="F26" s="48">
        <f>ROUND(F25*$C$21,2)</f>
        <v>2641.37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3.66E-05</v>
      </c>
      <c r="D27" s="47">
        <f>ROUNDDOWN(D26/$F$15,7)</f>
        <v>0</v>
      </c>
      <c r="E27" s="47">
        <f>ROUNDDOWN(E26/$F$15,7)</f>
        <v>0</v>
      </c>
      <c r="F27" s="47">
        <f>ROUNDDOWN(F26/$F$15,7)</f>
        <v>3.3E-06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28635.92</v>
      </c>
      <c r="D28" s="48">
        <f>ROUND(D27*$C$15,2)</f>
        <v>0</v>
      </c>
      <c r="E28" s="48">
        <f>ROUND(E27*$C$15,2)</f>
        <v>0</v>
      </c>
      <c r="F28" s="48">
        <f>ROUND(F27*$C$15,2)</f>
        <v>2581.93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28635.92</v>
      </c>
      <c r="D31" s="50">
        <f>ROUND(SUM(D28:D30),2)</f>
        <v>0</v>
      </c>
      <c r="E31" s="50">
        <f>ROUND(SUM(E28:E30),2)</f>
        <v>0</v>
      </c>
      <c r="F31" s="50">
        <f>ROUND(SUM(F28:F30),2)</f>
        <v>2581.93</v>
      </c>
    </row>
    <row r="32" spans="1:6" ht="15">
      <c r="A32" s="5">
        <f t="shared" si="0"/>
        <v>17</v>
      </c>
      <c r="B32" s="21" t="s">
        <v>34</v>
      </c>
      <c r="C32" s="48">
        <f>C31-C26</f>
        <v>-49.13000000000102</v>
      </c>
      <c r="D32" s="48">
        <f>D31-D26</f>
        <v>0</v>
      </c>
      <c r="E32" s="48">
        <f>E31-E26</f>
        <v>0</v>
      </c>
      <c r="F32" s="48">
        <f>F31-F26</f>
        <v>-59.440000000000055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28635.92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2581.93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28635.92</v>
      </c>
      <c r="D36" s="54">
        <f>SUM(D33:D35)</f>
        <v>0</v>
      </c>
      <c r="E36" s="54">
        <f>SUM(E33:E35)</f>
        <v>0</v>
      </c>
      <c r="F36" s="54">
        <f>SUM(F33:F35)</f>
        <v>2581.93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28635.92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2581.93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28635.92</v>
      </c>
      <c r="D48" s="50">
        <f>SUM(D45:D47)</f>
        <v>0</v>
      </c>
      <c r="E48" s="50">
        <f>SUM(E45:E47)</f>
        <v>0</v>
      </c>
      <c r="F48" s="50">
        <f>SUM(F45:F47)</f>
        <v>2581.93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7280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7272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43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Lane Community College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200606000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0.0006191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13881.74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1.77E-05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13848.52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13848.52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-33.219999999999345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13848.52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13848.52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13848.52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13848.52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7278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86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44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Lane ESD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200520100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0.0002232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5004.69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6.3E-06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4929.13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4929.13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-75.55999999999949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4929.13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4929.13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4929.13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4929.13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7274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8">
      <selection activeCell="C32" sqref="C32:F32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45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City of Florence</v>
      </c>
      <c r="D10" s="9"/>
      <c r="E10" s="10"/>
      <c r="F10" s="11"/>
    </row>
    <row r="11" spans="1:6" ht="15">
      <c r="A11" s="13">
        <v>3</v>
      </c>
      <c r="B11" s="14" t="s">
        <v>6</v>
      </c>
      <c r="C11" s="85" t="str">
        <f>VLOOKUP(F2,'Raw Data'!A:AO,7,FALSE)</f>
        <v>201680000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0.002861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0.0004155</v>
      </c>
    </row>
    <row r="26" spans="1:6" ht="15">
      <c r="A26" s="5">
        <f>1+A25</f>
        <v>11</v>
      </c>
      <c r="B26" s="21" t="s">
        <v>28</v>
      </c>
      <c r="C26" s="48">
        <f>ROUND(C25*$C$21,2)</f>
        <v>64150.66</v>
      </c>
      <c r="D26" s="48">
        <f>ROUND(D25*$C$21,2)</f>
        <v>0</v>
      </c>
      <c r="E26" s="48">
        <f>ROUND(E25*$C$21,2)</f>
        <v>0</v>
      </c>
      <c r="F26" s="48">
        <f>ROUND(F25*$C$21,2)</f>
        <v>9316.53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8.19E-05</v>
      </c>
      <c r="D27" s="47">
        <f>ROUNDDOWN(D26/$F$15,7)</f>
        <v>0</v>
      </c>
      <c r="E27" s="47">
        <f>ROUNDDOWN(E26/$F$15,7)</f>
        <v>0</v>
      </c>
      <c r="F27" s="47">
        <f>ROUNDDOWN(F26/$F$15,7)</f>
        <v>1.19E-05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64078.73</v>
      </c>
      <c r="D28" s="48">
        <f>ROUND(D27*$C$15,2)</f>
        <v>0</v>
      </c>
      <c r="E28" s="48">
        <f>ROUND(E27*$C$15,2)</f>
        <v>0</v>
      </c>
      <c r="F28" s="48">
        <f>ROUND(F27*$C$15,2)</f>
        <v>9310.59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64078.73</v>
      </c>
      <c r="D31" s="50">
        <f>ROUND(SUM(D28:D30),2)</f>
        <v>0</v>
      </c>
      <c r="E31" s="50">
        <f>ROUND(SUM(E28:E30),2)</f>
        <v>0</v>
      </c>
      <c r="F31" s="50">
        <f>ROUND(SUM(F28:F30),2)</f>
        <v>9310.59</v>
      </c>
    </row>
    <row r="32" spans="1:6" ht="15">
      <c r="A32" s="5">
        <f t="shared" si="0"/>
        <v>17</v>
      </c>
      <c r="B32" s="21" t="s">
        <v>34</v>
      </c>
      <c r="C32" s="48">
        <f>C31-C26</f>
        <v>-71.93000000000029</v>
      </c>
      <c r="D32" s="48">
        <f>D31-D26</f>
        <v>0</v>
      </c>
      <c r="E32" s="48">
        <f>E31-E26</f>
        <v>0</v>
      </c>
      <c r="F32" s="48">
        <f>F31-F26</f>
        <v>-5.940000000000509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64078.73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9310.59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64078.73</v>
      </c>
      <c r="D36" s="54">
        <f>SUM(D33:D35)</f>
        <v>0</v>
      </c>
      <c r="E36" s="54">
        <f>SUM(E33:E35)</f>
        <v>0</v>
      </c>
      <c r="F36" s="54">
        <f>SUM(F33:F35)</f>
        <v>9310.59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64078.73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9310.59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64078.73</v>
      </c>
      <c r="D48" s="50">
        <f>SUM(D45:D47)</f>
        <v>0</v>
      </c>
      <c r="E48" s="50">
        <f>SUM(E45:E47)</f>
        <v>0</v>
      </c>
      <c r="F48" s="50">
        <f>SUM(F45:F47)</f>
        <v>9310.59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7281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7276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46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Siuslaw School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5" t="str">
        <f>VLOOKUP(F2,'Raw Data'!A:AO,7,FALSE)</f>
        <v>200257000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0.0038928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0.0011288</v>
      </c>
    </row>
    <row r="26" spans="1:6" ht="15">
      <c r="A26" s="5">
        <f>1+A25</f>
        <v>11</v>
      </c>
      <c r="B26" s="21" t="s">
        <v>28</v>
      </c>
      <c r="C26" s="48">
        <f>ROUND(C25*$C$21,2)</f>
        <v>87286.15</v>
      </c>
      <c r="D26" s="48">
        <f>ROUND(D25*$C$21,2)</f>
        <v>0</v>
      </c>
      <c r="E26" s="48">
        <f>ROUND(E25*$C$21,2)</f>
        <v>0</v>
      </c>
      <c r="F26" s="48">
        <f>ROUND(F25*$C$21,2)</f>
        <v>25310.47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0.0001115</v>
      </c>
      <c r="D27" s="47">
        <f>ROUNDDOWN(D26/$F$15,7)</f>
        <v>0</v>
      </c>
      <c r="E27" s="47">
        <f>ROUNDDOWN(E26/$F$15,7)</f>
        <v>0</v>
      </c>
      <c r="F27" s="47">
        <f>ROUNDDOWN(F26/$F$15,7)</f>
        <v>3.23E-05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87237.84</v>
      </c>
      <c r="D28" s="48">
        <f>ROUND(D27*$C$15,2)</f>
        <v>0</v>
      </c>
      <c r="E28" s="48">
        <f>ROUND(E27*$C$15,2)</f>
        <v>0</v>
      </c>
      <c r="F28" s="48">
        <f>ROUND(F27*$C$15,2)</f>
        <v>25271.59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87237.84</v>
      </c>
      <c r="D31" s="50">
        <f>ROUND(SUM(D28:D30),2)</f>
        <v>0</v>
      </c>
      <c r="E31" s="50">
        <f>ROUND(SUM(E28:E30),2)</f>
        <v>0</v>
      </c>
      <c r="F31" s="50">
        <f>ROUND(SUM(F28:F30),2)</f>
        <v>25271.59</v>
      </c>
    </row>
    <row r="32" spans="1:6" ht="15">
      <c r="A32" s="5">
        <f t="shared" si="0"/>
        <v>17</v>
      </c>
      <c r="B32" s="21" t="s">
        <v>34</v>
      </c>
      <c r="C32" s="48">
        <f>C31-C26</f>
        <v>-48.30999999999767</v>
      </c>
      <c r="D32" s="48">
        <f>D31-D26</f>
        <v>0</v>
      </c>
      <c r="E32" s="48">
        <f>E31-E26</f>
        <v>0</v>
      </c>
      <c r="F32" s="48">
        <f>F31-F26</f>
        <v>-38.88000000000102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87237.84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25271.59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87237.84</v>
      </c>
      <c r="D36" s="54">
        <f>SUM(D33:D35)</f>
        <v>0</v>
      </c>
      <c r="E36" s="54">
        <f>SUM(E33:E35)</f>
        <v>0</v>
      </c>
      <c r="F36" s="54">
        <f>SUM(F33:F35)</f>
        <v>25271.59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87237.84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25271.59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87237.84</v>
      </c>
      <c r="D48" s="50">
        <f>SUM(D45:D47)</f>
        <v>0</v>
      </c>
      <c r="E48" s="50">
        <f>SUM(E45:E47)</f>
        <v>0</v>
      </c>
      <c r="F48" s="50">
        <f>SUM(F45:F47)</f>
        <v>25271.59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7282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7279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47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Siuslaw Public Library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5" t="str">
        <f>VLOOKUP(F2,'Raw Data'!A:AO,7,FALSE)</f>
        <v>200009520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0.0005163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11576.72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1.47E-05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11501.31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11501.31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-75.40999999999985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11501.31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11501.31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11501.31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11501.31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7277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48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Port of Siuslaw</v>
      </c>
      <c r="D10" s="9"/>
      <c r="E10" s="10"/>
      <c r="F10" s="11"/>
    </row>
    <row r="11" spans="1:6" ht="15">
      <c r="A11" s="13">
        <v>3</v>
      </c>
      <c r="B11" s="14" t="s">
        <v>6</v>
      </c>
      <c r="C11" s="85" t="str">
        <f>VLOOKUP(F2,'Raw Data'!A:AO,7,FALSE)</f>
        <v>200002180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0.0001474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3305.07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4.2E-06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3286.09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3286.09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-18.980000000000018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3286.09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3286.09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3286.09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3286.09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7273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4" sqref="F4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49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Urban Renewal Agency of Florence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Florence Urban Renewal District</v>
      </c>
      <c r="D9" s="16"/>
      <c r="E9" s="17"/>
      <c r="F9" s="87" t="str">
        <f>VLOOKUP(F2,'Raw Data'!A:AO,6,FALSE)</f>
        <v>200008995</v>
      </c>
    </row>
    <row r="10" spans="1:6" ht="15">
      <c r="A10" s="13">
        <v>2</v>
      </c>
      <c r="B10" s="14" t="s">
        <v>5</v>
      </c>
      <c r="C10" s="8" t="str">
        <f>VLOOKUP(F2,'Raw Data'!A:AO,5,FALSE)</f>
        <v>Western Lane Ambulance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5" t="str">
        <f>VLOOKUP(F2,'Raw Data'!A:AO,7,FALSE)</f>
        <v>200091100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782402136</v>
      </c>
      <c r="D15" s="30"/>
      <c r="E15" s="30"/>
      <c r="F15" s="31">
        <f>SUM(C15:E15)</f>
        <v>782402136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105326270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82903810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22422460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0.0003198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</v>
      </c>
    </row>
    <row r="26" spans="1:6" ht="15">
      <c r="A26" s="5">
        <f>1+A25</f>
        <v>11</v>
      </c>
      <c r="B26" s="21" t="s">
        <v>28</v>
      </c>
      <c r="C26" s="48">
        <f>ROUND(C25*$C$21,2)</f>
        <v>7170.7</v>
      </c>
      <c r="D26" s="48">
        <f>ROUND(D25*$C$21,2)</f>
        <v>0</v>
      </c>
      <c r="E26" s="48">
        <f>ROUND(E25*$C$21,2)</f>
        <v>0</v>
      </c>
      <c r="F26" s="48">
        <f>ROUND(F25*$C$21,2)</f>
        <v>0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9.1E-06</v>
      </c>
      <c r="D27" s="47">
        <f>ROUNDDOWN(D26/$F$15,7)</f>
        <v>0</v>
      </c>
      <c r="E27" s="47">
        <f>ROUNDDOWN(E26/$F$15,7)</f>
        <v>0</v>
      </c>
      <c r="F27" s="47">
        <f>ROUNDDOWN(F26/$F$15,7)</f>
        <v>0</v>
      </c>
    </row>
    <row r="28" spans="1:6" ht="15">
      <c r="A28" s="5">
        <f t="shared" si="0"/>
        <v>13</v>
      </c>
      <c r="B28" s="21" t="s">
        <v>30</v>
      </c>
      <c r="C28" s="48">
        <f>ROUND(C27*$C$15,2)</f>
        <v>7119.86</v>
      </c>
      <c r="D28" s="48">
        <f>ROUND(D27*$C$15,2)</f>
        <v>0</v>
      </c>
      <c r="E28" s="48">
        <f>ROUND(E27*$C$15,2)</f>
        <v>0</v>
      </c>
      <c r="F28" s="48">
        <f>ROUND(F27*$C$15,2)</f>
        <v>0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7119.86</v>
      </c>
      <c r="D31" s="50">
        <f>ROUND(SUM(D28:D30),2)</f>
        <v>0</v>
      </c>
      <c r="E31" s="50">
        <f>ROUND(SUM(E28:E30),2)</f>
        <v>0</v>
      </c>
      <c r="F31" s="50">
        <f>ROUND(SUM(F28:F30),2)</f>
        <v>0</v>
      </c>
    </row>
    <row r="32" spans="1:6" ht="15">
      <c r="A32" s="5">
        <f t="shared" si="0"/>
        <v>17</v>
      </c>
      <c r="B32" s="21" t="s">
        <v>34</v>
      </c>
      <c r="C32" s="48">
        <f>C31-C26</f>
        <v>-50.840000000000146</v>
      </c>
      <c r="D32" s="48">
        <f>D31-D26</f>
        <v>0</v>
      </c>
      <c r="E32" s="48">
        <f>E31-E26</f>
        <v>0</v>
      </c>
      <c r="F32" s="48">
        <f>F31-F26</f>
        <v>0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7119.86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0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7119.86</v>
      </c>
      <c r="D36" s="54">
        <f>SUM(D33:D35)</f>
        <v>0</v>
      </c>
      <c r="E36" s="54">
        <f>SUM(E33:E35)</f>
        <v>0</v>
      </c>
      <c r="F36" s="54">
        <f>SUM(F33:F35)</f>
        <v>0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7119.86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0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7119.86</v>
      </c>
      <c r="D48" s="50">
        <f>SUM(D45:D47)</f>
        <v>0</v>
      </c>
      <c r="E48" s="50">
        <f>SUM(E45:E47)</f>
        <v>0</v>
      </c>
      <c r="F48" s="50">
        <f>SUM(F45:F47)</f>
        <v>0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7275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0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C32" activeCellId="1" sqref="A1 C32:F32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5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Coburg Urban Renewal District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Coburg Industrial Area</v>
      </c>
      <c r="D9" s="16"/>
      <c r="E9" s="17"/>
      <c r="F9" s="18" t="str">
        <f>VLOOKUP(F2,'Raw Data'!A:AO,6,FALSE)</f>
        <v>200008715</v>
      </c>
    </row>
    <row r="10" spans="1:6" ht="15">
      <c r="A10" s="13">
        <v>2</v>
      </c>
      <c r="B10" s="14" t="s">
        <v>5</v>
      </c>
      <c r="C10" s="8" t="str">
        <f>VLOOKUP(F2,'Raw Data'!A:AO,5,FALSE)</f>
        <v>Coburg Rural Fire Protection District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200030900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159769263</v>
      </c>
      <c r="D15" s="30"/>
      <c r="E15" s="30"/>
      <c r="F15" s="31">
        <f>SUM(C15:E15)</f>
        <v>159769263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39267623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15462696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23804927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0.0013277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0.0002813</v>
      </c>
    </row>
    <row r="26" spans="1:6" ht="15">
      <c r="A26" s="5">
        <f>1+A25</f>
        <v>11</v>
      </c>
      <c r="B26" s="21" t="s">
        <v>28</v>
      </c>
      <c r="C26" s="48">
        <f>ROUND(C25*$C$21,2)</f>
        <v>31605.8</v>
      </c>
      <c r="D26" s="48">
        <f>ROUND(D25*$C$21,2)</f>
        <v>0</v>
      </c>
      <c r="E26" s="48">
        <f>ROUND(E25*$C$21,2)</f>
        <v>0</v>
      </c>
      <c r="F26" s="48">
        <f>ROUND(F25*$C$21,2)</f>
        <v>6696.33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0.0001978</v>
      </c>
      <c r="D27" s="47">
        <f>ROUNDDOWN(D26/$F$15,7)</f>
        <v>0</v>
      </c>
      <c r="E27" s="47">
        <f>ROUNDDOWN(E26/$F$15,7)</f>
        <v>0</v>
      </c>
      <c r="F27" s="47">
        <f>ROUNDDOWN(F26/$F$15,7)</f>
        <v>4.19E-05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31602.36</v>
      </c>
      <c r="D28" s="48">
        <f>ROUND(D27*$C$15,2)</f>
        <v>0</v>
      </c>
      <c r="E28" s="48">
        <f>ROUND(E27*$C$15,2)</f>
        <v>0</v>
      </c>
      <c r="F28" s="48">
        <f>ROUND(F27*$C$15,2)</f>
        <v>6694.33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31602.36</v>
      </c>
      <c r="D31" s="50">
        <f>ROUND(SUM(D28:D30),2)</f>
        <v>0</v>
      </c>
      <c r="E31" s="50">
        <f>ROUND(SUM(E28:E30),2)</f>
        <v>0</v>
      </c>
      <c r="F31" s="50">
        <f>ROUND(SUM(F28:F30),2)</f>
        <v>6694.33</v>
      </c>
    </row>
    <row r="32" spans="1:6" ht="15">
      <c r="A32" s="5">
        <f t="shared" si="0"/>
        <v>17</v>
      </c>
      <c r="B32" s="21" t="s">
        <v>34</v>
      </c>
      <c r="C32" s="48">
        <f>C31-C26</f>
        <v>-3.4399999999986903</v>
      </c>
      <c r="D32" s="48">
        <f>D31-D26</f>
        <v>0</v>
      </c>
      <c r="E32" s="48">
        <f>E31-E26</f>
        <v>0</v>
      </c>
      <c r="F32" s="48">
        <f>F31-F26</f>
        <v>-2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31602.36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6694.33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31602.36</v>
      </c>
      <c r="D36" s="54">
        <f>SUM(D33:D35)</f>
        <v>0</v>
      </c>
      <c r="E36" s="54">
        <f>SUM(E33:E35)</f>
        <v>0</v>
      </c>
      <c r="F36" s="54">
        <f>SUM(F33:F35)</f>
        <v>6694.33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-0.02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-0.02</v>
      </c>
      <c r="D44" s="54">
        <f>SUM(D41:D43)</f>
        <v>0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31602.34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6694.33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31602.34</v>
      </c>
      <c r="D48" s="50">
        <f>SUM(D45:D47)</f>
        <v>0</v>
      </c>
      <c r="E48" s="50">
        <f>SUM(E45:E47)</f>
        <v>0</v>
      </c>
      <c r="F48" s="50">
        <f>SUM(F45:F47)</f>
        <v>6694.33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7268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7263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pane xSplit="1" ySplit="1" topLeftCell="AF2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P2" sqref="AP2"/>
    </sheetView>
  </sheetViews>
  <sheetFormatPr defaultColWidth="9.140625" defaultRowHeight="12.75"/>
  <cols>
    <col min="2" max="2" width="14.28125" style="0" bestFit="1" customWidth="1"/>
    <col min="3" max="3" width="42.140625" style="0" customWidth="1"/>
    <col min="4" max="4" width="36.00390625" style="0" bestFit="1" customWidth="1"/>
    <col min="5" max="5" width="33.28125" style="0" bestFit="1" customWidth="1"/>
    <col min="6" max="7" width="16.421875" style="56" bestFit="1" customWidth="1"/>
    <col min="8" max="8" width="10.28125" style="0" bestFit="1" customWidth="1"/>
    <col min="9" max="9" width="11.57421875" style="0" bestFit="1" customWidth="1"/>
    <col min="10" max="10" width="10.57421875" style="0" customWidth="1"/>
    <col min="11" max="11" width="10.7109375" style="0" customWidth="1"/>
    <col min="12" max="14" width="8.57421875" style="0" bestFit="1" customWidth="1"/>
    <col min="15" max="15" width="13.8515625" style="57" bestFit="1" customWidth="1"/>
    <col min="16" max="17" width="11.140625" style="57" bestFit="1" customWidth="1"/>
    <col min="18" max="21" width="10.00390625" style="0" bestFit="1" customWidth="1"/>
    <col min="22" max="25" width="7.00390625" style="0" bestFit="1" customWidth="1"/>
    <col min="26" max="29" width="5.57421875" style="0" bestFit="1" customWidth="1"/>
    <col min="30" max="31" width="10.00390625" style="0" bestFit="1" customWidth="1"/>
    <col min="32" max="33" width="9.00390625" style="0" bestFit="1" customWidth="1"/>
    <col min="34" max="35" width="8.57421875" style="0" bestFit="1" customWidth="1"/>
    <col min="36" max="36" width="5.57421875" style="0" bestFit="1" customWidth="1"/>
    <col min="37" max="37" width="8.57421875" style="0" bestFit="1" customWidth="1"/>
    <col min="38" max="39" width="10.00390625" style="0" bestFit="1" customWidth="1"/>
    <col min="40" max="41" width="9.00390625" style="0" bestFit="1" customWidth="1"/>
    <col min="42" max="45" width="20.140625" style="0" bestFit="1" customWidth="1"/>
  </cols>
  <sheetData>
    <row r="1" spans="1:45" ht="12.75">
      <c r="A1" s="58" t="s">
        <v>93</v>
      </c>
      <c r="B1" s="59" t="s">
        <v>53</v>
      </c>
      <c r="C1" s="59" t="s">
        <v>54</v>
      </c>
      <c r="D1" s="59" t="s">
        <v>55</v>
      </c>
      <c r="E1" s="59" t="s">
        <v>56</v>
      </c>
      <c r="F1" s="60" t="s">
        <v>57</v>
      </c>
      <c r="G1" s="60" t="s">
        <v>58</v>
      </c>
      <c r="H1" s="59" t="s">
        <v>59</v>
      </c>
      <c r="I1" s="59" t="s">
        <v>60</v>
      </c>
      <c r="J1" s="59" t="s">
        <v>61</v>
      </c>
      <c r="K1" s="59" t="s">
        <v>62</v>
      </c>
      <c r="L1" s="59" t="s">
        <v>63</v>
      </c>
      <c r="M1" s="59" t="s">
        <v>64</v>
      </c>
      <c r="N1" s="59" t="s">
        <v>65</v>
      </c>
      <c r="O1" s="61" t="s">
        <v>66</v>
      </c>
      <c r="P1" s="61" t="s">
        <v>67</v>
      </c>
      <c r="Q1" s="61" t="s">
        <v>68</v>
      </c>
      <c r="R1" s="59" t="s">
        <v>69</v>
      </c>
      <c r="S1" s="59" t="s">
        <v>70</v>
      </c>
      <c r="T1" s="59" t="s">
        <v>71</v>
      </c>
      <c r="U1" s="59" t="s">
        <v>72</v>
      </c>
      <c r="V1" s="59" t="s">
        <v>73</v>
      </c>
      <c r="W1" s="59" t="s">
        <v>74</v>
      </c>
      <c r="X1" s="59" t="s">
        <v>75</v>
      </c>
      <c r="Y1" s="59" t="s">
        <v>76</v>
      </c>
      <c r="Z1" s="59" t="s">
        <v>77</v>
      </c>
      <c r="AA1" s="59" t="s">
        <v>78</v>
      </c>
      <c r="AB1" s="59" t="s">
        <v>79</v>
      </c>
      <c r="AC1" s="59" t="s">
        <v>80</v>
      </c>
      <c r="AD1" s="59" t="s">
        <v>81</v>
      </c>
      <c r="AE1" s="59" t="s">
        <v>82</v>
      </c>
      <c r="AF1" s="59" t="s">
        <v>83</v>
      </c>
      <c r="AG1" s="59" t="s">
        <v>84</v>
      </c>
      <c r="AH1" s="59" t="s">
        <v>85</v>
      </c>
      <c r="AI1" s="59" t="s">
        <v>86</v>
      </c>
      <c r="AJ1" s="59" t="s">
        <v>87</v>
      </c>
      <c r="AK1" s="59" t="s">
        <v>88</v>
      </c>
      <c r="AL1" s="59" t="s">
        <v>89</v>
      </c>
      <c r="AM1" s="59" t="s">
        <v>90</v>
      </c>
      <c r="AN1" s="59" t="s">
        <v>91</v>
      </c>
      <c r="AO1" s="59" t="s">
        <v>92</v>
      </c>
      <c r="AP1" s="95" t="s">
        <v>165</v>
      </c>
      <c r="AQ1" s="95" t="s">
        <v>166</v>
      </c>
      <c r="AR1" s="95" t="s">
        <v>167</v>
      </c>
      <c r="AS1" s="95" t="s">
        <v>168</v>
      </c>
    </row>
    <row r="2" spans="1:41" s="73" customFormat="1" ht="12.75">
      <c r="A2" s="68">
        <v>1</v>
      </c>
      <c r="B2" s="69" t="s">
        <v>94</v>
      </c>
      <c r="C2" s="69" t="s">
        <v>95</v>
      </c>
      <c r="D2" s="69" t="s">
        <v>96</v>
      </c>
      <c r="E2" s="69" t="s">
        <v>97</v>
      </c>
      <c r="F2" s="70" t="s">
        <v>122</v>
      </c>
      <c r="G2" s="70" t="s">
        <v>123</v>
      </c>
      <c r="H2" s="69" t="s">
        <v>98</v>
      </c>
      <c r="I2" s="71">
        <v>95</v>
      </c>
      <c r="J2" s="71">
        <v>6806</v>
      </c>
      <c r="K2" s="71">
        <v>7267</v>
      </c>
      <c r="L2" s="71">
        <v>0</v>
      </c>
      <c r="M2" s="71">
        <v>0</v>
      </c>
      <c r="N2" s="71">
        <v>7260</v>
      </c>
      <c r="O2" s="72">
        <v>159769263</v>
      </c>
      <c r="P2" s="72">
        <v>15462696</v>
      </c>
      <c r="Q2" s="72">
        <v>23804927</v>
      </c>
      <c r="R2" s="71">
        <v>0.0012793</v>
      </c>
      <c r="S2" s="71"/>
      <c r="T2" s="71"/>
      <c r="U2" s="71">
        <v>0.0001178</v>
      </c>
      <c r="V2" s="71">
        <v>0.1906</v>
      </c>
      <c r="W2" s="71"/>
      <c r="X2" s="71"/>
      <c r="Y2" s="71">
        <v>0.0175</v>
      </c>
      <c r="Z2" s="71"/>
      <c r="AA2" s="71"/>
      <c r="AB2" s="71"/>
      <c r="AC2" s="71"/>
      <c r="AD2" s="71">
        <v>30452.02</v>
      </c>
      <c r="AE2" s="71"/>
      <c r="AF2" s="71"/>
      <c r="AG2" s="71">
        <v>2795.96</v>
      </c>
      <c r="AH2" s="71">
        <v>-0.02</v>
      </c>
      <c r="AI2" s="71"/>
      <c r="AJ2" s="71"/>
      <c r="AK2" s="71">
        <v>0</v>
      </c>
      <c r="AL2" s="71">
        <v>30452</v>
      </c>
      <c r="AM2" s="71"/>
      <c r="AN2" s="71"/>
      <c r="AO2" s="71">
        <v>2795.96</v>
      </c>
    </row>
    <row r="3" spans="1:41" s="73" customFormat="1" ht="12.75">
      <c r="A3" s="68">
        <v>2</v>
      </c>
      <c r="B3" s="69" t="s">
        <v>94</v>
      </c>
      <c r="C3" s="69" t="s">
        <v>95</v>
      </c>
      <c r="D3" s="69" t="s">
        <v>96</v>
      </c>
      <c r="E3" s="69" t="s">
        <v>99</v>
      </c>
      <c r="F3" s="70" t="s">
        <v>122</v>
      </c>
      <c r="G3" s="70" t="s">
        <v>124</v>
      </c>
      <c r="H3" s="69" t="s">
        <v>98</v>
      </c>
      <c r="I3" s="71">
        <v>40</v>
      </c>
      <c r="J3" s="71">
        <v>6806</v>
      </c>
      <c r="K3" s="71">
        <v>7265</v>
      </c>
      <c r="L3" s="71">
        <v>0</v>
      </c>
      <c r="M3" s="71">
        <v>0</v>
      </c>
      <c r="N3" s="71">
        <v>7262</v>
      </c>
      <c r="O3" s="72">
        <v>159769263</v>
      </c>
      <c r="P3" s="72">
        <v>15462696</v>
      </c>
      <c r="Q3" s="72">
        <v>23804927</v>
      </c>
      <c r="R3" s="71">
        <v>0.0006191</v>
      </c>
      <c r="S3" s="71"/>
      <c r="T3" s="71"/>
      <c r="U3" s="71">
        <v>0.0002343</v>
      </c>
      <c r="V3" s="71">
        <v>0.0922</v>
      </c>
      <c r="W3" s="71"/>
      <c r="X3" s="71"/>
      <c r="Y3" s="71">
        <v>0.0349</v>
      </c>
      <c r="Z3" s="71"/>
      <c r="AA3" s="71"/>
      <c r="AB3" s="71"/>
      <c r="AC3" s="71"/>
      <c r="AD3" s="71">
        <v>14730.73</v>
      </c>
      <c r="AE3" s="71"/>
      <c r="AF3" s="71"/>
      <c r="AG3" s="71">
        <v>5575.95</v>
      </c>
      <c r="AH3" s="71">
        <v>-0.01</v>
      </c>
      <c r="AI3" s="71"/>
      <c r="AJ3" s="71"/>
      <c r="AK3" s="71">
        <v>0</v>
      </c>
      <c r="AL3" s="71">
        <v>14730.72</v>
      </c>
      <c r="AM3" s="71"/>
      <c r="AN3" s="71"/>
      <c r="AO3" s="71">
        <v>5575.95</v>
      </c>
    </row>
    <row r="4" spans="1:41" s="73" customFormat="1" ht="12.75">
      <c r="A4" s="68">
        <v>3</v>
      </c>
      <c r="B4" s="69" t="s">
        <v>94</v>
      </c>
      <c r="C4" s="69" t="s">
        <v>95</v>
      </c>
      <c r="D4" s="69" t="s">
        <v>96</v>
      </c>
      <c r="E4" s="69" t="s">
        <v>100</v>
      </c>
      <c r="F4" s="70" t="s">
        <v>122</v>
      </c>
      <c r="G4" s="70" t="s">
        <v>125</v>
      </c>
      <c r="H4" s="69" t="s">
        <v>98</v>
      </c>
      <c r="I4" s="71">
        <v>38</v>
      </c>
      <c r="J4" s="71">
        <v>6806</v>
      </c>
      <c r="K4" s="71">
        <v>7261</v>
      </c>
      <c r="L4" s="71">
        <v>0</v>
      </c>
      <c r="M4" s="71">
        <v>0</v>
      </c>
      <c r="N4" s="71">
        <v>0</v>
      </c>
      <c r="O4" s="72">
        <v>159769263</v>
      </c>
      <c r="P4" s="72">
        <v>15462696</v>
      </c>
      <c r="Q4" s="72">
        <v>23804927</v>
      </c>
      <c r="R4" s="71">
        <v>0.0002232</v>
      </c>
      <c r="S4" s="71"/>
      <c r="T4" s="71"/>
      <c r="U4" s="71"/>
      <c r="V4" s="71">
        <v>0.0332</v>
      </c>
      <c r="W4" s="71"/>
      <c r="X4" s="71"/>
      <c r="Y4" s="71"/>
      <c r="Z4" s="71"/>
      <c r="AA4" s="71"/>
      <c r="AB4" s="71"/>
      <c r="AC4" s="71"/>
      <c r="AD4" s="71">
        <v>5304.34</v>
      </c>
      <c r="AE4" s="71"/>
      <c r="AF4" s="71"/>
      <c r="AG4" s="71"/>
      <c r="AH4" s="71">
        <v>0</v>
      </c>
      <c r="AI4" s="71"/>
      <c r="AJ4" s="71"/>
      <c r="AK4" s="71"/>
      <c r="AL4" s="71">
        <v>5304.34</v>
      </c>
      <c r="AM4" s="71"/>
      <c r="AN4" s="71"/>
      <c r="AO4" s="71"/>
    </row>
    <row r="5" spans="1:41" s="73" customFormat="1" ht="12.75">
      <c r="A5" s="68">
        <v>4</v>
      </c>
      <c r="B5" s="69" t="s">
        <v>94</v>
      </c>
      <c r="C5" s="69" t="s">
        <v>95</v>
      </c>
      <c r="D5" s="69" t="s">
        <v>96</v>
      </c>
      <c r="E5" s="69" t="s">
        <v>101</v>
      </c>
      <c r="F5" s="70" t="s">
        <v>122</v>
      </c>
      <c r="G5" s="70" t="s">
        <v>126</v>
      </c>
      <c r="H5" s="69" t="s">
        <v>98</v>
      </c>
      <c r="I5" s="71">
        <v>41</v>
      </c>
      <c r="J5" s="71">
        <v>6806</v>
      </c>
      <c r="K5" s="71">
        <v>7270</v>
      </c>
      <c r="L5" s="71">
        <v>0</v>
      </c>
      <c r="M5" s="71">
        <v>0</v>
      </c>
      <c r="N5" s="71">
        <v>0</v>
      </c>
      <c r="O5" s="72">
        <v>159769263</v>
      </c>
      <c r="P5" s="72">
        <v>15462696</v>
      </c>
      <c r="Q5" s="72">
        <v>23804927</v>
      </c>
      <c r="R5" s="71">
        <v>0.0037506</v>
      </c>
      <c r="S5" s="71"/>
      <c r="T5" s="71"/>
      <c r="U5" s="71"/>
      <c r="V5" s="71">
        <v>0.5588</v>
      </c>
      <c r="W5" s="71"/>
      <c r="X5" s="71"/>
      <c r="Y5" s="71"/>
      <c r="Z5" s="71"/>
      <c r="AA5" s="71"/>
      <c r="AB5" s="71"/>
      <c r="AC5" s="71"/>
      <c r="AD5" s="71">
        <v>89279.06</v>
      </c>
      <c r="AE5" s="71"/>
      <c r="AF5" s="71"/>
      <c r="AG5" s="71"/>
      <c r="AH5" s="71">
        <v>-0.06</v>
      </c>
      <c r="AI5" s="71"/>
      <c r="AJ5" s="71"/>
      <c r="AK5" s="71"/>
      <c r="AL5" s="71">
        <v>89279</v>
      </c>
      <c r="AM5" s="71"/>
      <c r="AN5" s="71"/>
      <c r="AO5" s="71"/>
    </row>
    <row r="6" spans="1:41" s="73" customFormat="1" ht="12.75">
      <c r="A6" s="68">
        <v>5</v>
      </c>
      <c r="B6" s="69" t="s">
        <v>94</v>
      </c>
      <c r="C6" s="69" t="s">
        <v>95</v>
      </c>
      <c r="D6" s="69" t="s">
        <v>96</v>
      </c>
      <c r="E6" s="69" t="s">
        <v>102</v>
      </c>
      <c r="F6" s="70" t="s">
        <v>122</v>
      </c>
      <c r="G6" s="70" t="s">
        <v>127</v>
      </c>
      <c r="H6" s="69" t="s">
        <v>98</v>
      </c>
      <c r="I6" s="71">
        <v>54</v>
      </c>
      <c r="J6" s="71">
        <v>6806</v>
      </c>
      <c r="K6" s="71">
        <v>7268</v>
      </c>
      <c r="L6" s="71">
        <v>0</v>
      </c>
      <c r="M6" s="71">
        <v>0</v>
      </c>
      <c r="N6" s="71">
        <v>7263</v>
      </c>
      <c r="O6" s="72">
        <v>159769263</v>
      </c>
      <c r="P6" s="72">
        <v>15462696</v>
      </c>
      <c r="Q6" s="72">
        <v>23804927</v>
      </c>
      <c r="R6" s="71">
        <v>0.0013277</v>
      </c>
      <c r="S6" s="71"/>
      <c r="T6" s="71"/>
      <c r="U6" s="71">
        <v>0.0002813</v>
      </c>
      <c r="V6" s="71">
        <v>0.1978</v>
      </c>
      <c r="W6" s="71"/>
      <c r="X6" s="71"/>
      <c r="Y6" s="71">
        <v>0.0419</v>
      </c>
      <c r="Z6" s="71"/>
      <c r="AA6" s="71"/>
      <c r="AB6" s="71"/>
      <c r="AC6" s="71"/>
      <c r="AD6" s="71">
        <v>31602.36</v>
      </c>
      <c r="AE6" s="71"/>
      <c r="AF6" s="71"/>
      <c r="AG6" s="71">
        <v>6694.33</v>
      </c>
      <c r="AH6" s="71">
        <v>-0.02</v>
      </c>
      <c r="AI6" s="71"/>
      <c r="AJ6" s="71"/>
      <c r="AK6" s="71">
        <v>0</v>
      </c>
      <c r="AL6" s="71">
        <v>31602.34</v>
      </c>
      <c r="AM6" s="71"/>
      <c r="AN6" s="71"/>
      <c r="AO6" s="71">
        <v>6694.33</v>
      </c>
    </row>
    <row r="7" spans="1:41" s="73" customFormat="1" ht="12.75">
      <c r="A7" s="68">
        <v>6</v>
      </c>
      <c r="B7" s="69" t="s">
        <v>94</v>
      </c>
      <c r="C7" s="69" t="s">
        <v>95</v>
      </c>
      <c r="D7" s="69" t="s">
        <v>96</v>
      </c>
      <c r="E7" s="69" t="s">
        <v>103</v>
      </c>
      <c r="F7" s="70" t="s">
        <v>122</v>
      </c>
      <c r="G7" s="70" t="s">
        <v>128</v>
      </c>
      <c r="H7" s="69" t="s">
        <v>98</v>
      </c>
      <c r="I7" s="71">
        <v>15</v>
      </c>
      <c r="J7" s="71">
        <v>6806</v>
      </c>
      <c r="K7" s="71">
        <v>7271</v>
      </c>
      <c r="L7" s="71">
        <v>7269</v>
      </c>
      <c r="M7" s="71">
        <v>0</v>
      </c>
      <c r="N7" s="71">
        <v>7264</v>
      </c>
      <c r="O7" s="72">
        <v>159769263</v>
      </c>
      <c r="P7" s="72">
        <v>15462696</v>
      </c>
      <c r="Q7" s="72">
        <v>23804927</v>
      </c>
      <c r="R7" s="71">
        <v>0.0047485</v>
      </c>
      <c r="S7" s="71">
        <v>0.0015</v>
      </c>
      <c r="T7" s="71"/>
      <c r="U7" s="71">
        <v>0.0005808</v>
      </c>
      <c r="V7" s="71">
        <v>0.7075</v>
      </c>
      <c r="W7" s="71">
        <v>0.2234</v>
      </c>
      <c r="X7" s="71"/>
      <c r="Y7" s="71">
        <v>0.0865</v>
      </c>
      <c r="Z7" s="71"/>
      <c r="AA7" s="71"/>
      <c r="AB7" s="71"/>
      <c r="AC7" s="71"/>
      <c r="AD7" s="71">
        <v>113036.75</v>
      </c>
      <c r="AE7" s="71">
        <v>35692.45</v>
      </c>
      <c r="AF7" s="71"/>
      <c r="AG7" s="71">
        <v>13820.04</v>
      </c>
      <c r="AH7" s="71">
        <v>-0.07</v>
      </c>
      <c r="AI7" s="71">
        <v>-0.44</v>
      </c>
      <c r="AJ7" s="71"/>
      <c r="AK7" s="71">
        <v>-0.01</v>
      </c>
      <c r="AL7" s="71">
        <v>113036.68</v>
      </c>
      <c r="AM7" s="71">
        <v>35692.01</v>
      </c>
      <c r="AN7" s="71"/>
      <c r="AO7" s="71">
        <v>13820.03</v>
      </c>
    </row>
    <row r="8" spans="1:41" s="73" customFormat="1" ht="12.75">
      <c r="A8" s="68">
        <v>7</v>
      </c>
      <c r="B8" s="69" t="s">
        <v>94</v>
      </c>
      <c r="C8" s="69" t="s">
        <v>95</v>
      </c>
      <c r="D8" s="69" t="s">
        <v>96</v>
      </c>
      <c r="E8" s="69" t="s">
        <v>103</v>
      </c>
      <c r="F8" s="70" t="s">
        <v>122</v>
      </c>
      <c r="G8" s="70" t="s">
        <v>128</v>
      </c>
      <c r="H8" s="69" t="s">
        <v>98</v>
      </c>
      <c r="I8" s="71">
        <v>15</v>
      </c>
      <c r="J8" s="71">
        <v>6806</v>
      </c>
      <c r="K8" s="71">
        <v>0</v>
      </c>
      <c r="L8" s="71">
        <v>0</v>
      </c>
      <c r="M8" s="71">
        <v>0</v>
      </c>
      <c r="N8" s="71">
        <v>7266</v>
      </c>
      <c r="O8" s="72">
        <v>159769263</v>
      </c>
      <c r="P8" s="72">
        <v>15462696</v>
      </c>
      <c r="Q8" s="72">
        <v>23804927</v>
      </c>
      <c r="R8" s="71"/>
      <c r="S8" s="71"/>
      <c r="T8" s="71"/>
      <c r="U8" s="71">
        <v>0.0008121</v>
      </c>
      <c r="V8" s="71"/>
      <c r="W8" s="71"/>
      <c r="X8" s="71"/>
      <c r="Y8" s="71">
        <v>0.1209</v>
      </c>
      <c r="Z8" s="71"/>
      <c r="AA8" s="71"/>
      <c r="AB8" s="71"/>
      <c r="AC8" s="71"/>
      <c r="AD8" s="71"/>
      <c r="AE8" s="71"/>
      <c r="AF8" s="71"/>
      <c r="AG8" s="71">
        <v>19316.1</v>
      </c>
      <c r="AH8" s="71"/>
      <c r="AI8" s="71"/>
      <c r="AJ8" s="71"/>
      <c r="AK8" s="71">
        <v>-0.01</v>
      </c>
      <c r="AL8" s="71"/>
      <c r="AM8" s="71"/>
      <c r="AN8" s="71"/>
      <c r="AO8" s="71">
        <v>19316.09</v>
      </c>
    </row>
    <row r="9" spans="1:41" ht="12.75">
      <c r="A9" s="58">
        <v>8</v>
      </c>
      <c r="B9" s="62" t="s">
        <v>94</v>
      </c>
      <c r="C9" s="62" t="s">
        <v>104</v>
      </c>
      <c r="D9" s="62" t="s">
        <v>105</v>
      </c>
      <c r="E9" s="62" t="s">
        <v>106</v>
      </c>
      <c r="F9" s="63" t="s">
        <v>129</v>
      </c>
      <c r="G9" s="63" t="s">
        <v>130</v>
      </c>
      <c r="H9" s="62" t="s">
        <v>107</v>
      </c>
      <c r="I9" s="64">
        <v>45</v>
      </c>
      <c r="J9" s="64">
        <v>6782</v>
      </c>
      <c r="K9" s="64">
        <v>7236</v>
      </c>
      <c r="L9" s="64">
        <v>7226</v>
      </c>
      <c r="M9" s="64">
        <v>0</v>
      </c>
      <c r="N9" s="64">
        <v>7228</v>
      </c>
      <c r="O9" s="65">
        <v>11633024852</v>
      </c>
      <c r="P9" s="65">
        <v>50609448</v>
      </c>
      <c r="Q9" s="65">
        <v>42944043</v>
      </c>
      <c r="R9" s="64">
        <v>0.0070058</v>
      </c>
      <c r="S9" s="64">
        <v>0.0002318</v>
      </c>
      <c r="T9" s="64"/>
      <c r="U9" s="64">
        <v>0.0003287</v>
      </c>
      <c r="V9" s="64">
        <v>0.0258</v>
      </c>
      <c r="W9" s="64">
        <v>0.0008</v>
      </c>
      <c r="X9" s="64"/>
      <c r="Y9" s="64">
        <v>0.0012</v>
      </c>
      <c r="Z9" s="64"/>
      <c r="AA9" s="64"/>
      <c r="AB9" s="64"/>
      <c r="AC9" s="64"/>
      <c r="AD9" s="64">
        <v>300132.04</v>
      </c>
      <c r="AE9" s="64">
        <v>9306.42</v>
      </c>
      <c r="AF9" s="64"/>
      <c r="AG9" s="64">
        <v>13959.63</v>
      </c>
      <c r="AH9" s="64">
        <v>-0.41</v>
      </c>
      <c r="AI9" s="64">
        <v>-0.07</v>
      </c>
      <c r="AJ9" s="64"/>
      <c r="AK9" s="64">
        <v>0</v>
      </c>
      <c r="AL9" s="64">
        <v>300131.63</v>
      </c>
      <c r="AM9" s="64">
        <v>9306.35</v>
      </c>
      <c r="AN9" s="64"/>
      <c r="AO9" s="64">
        <v>13959.63</v>
      </c>
    </row>
    <row r="10" spans="1:41" ht="12.75">
      <c r="A10" s="58">
        <v>9</v>
      </c>
      <c r="B10" s="62" t="s">
        <v>94</v>
      </c>
      <c r="C10" s="62" t="s">
        <v>104</v>
      </c>
      <c r="D10" s="62" t="s">
        <v>105</v>
      </c>
      <c r="E10" s="62" t="s">
        <v>106</v>
      </c>
      <c r="F10" s="63" t="s">
        <v>129</v>
      </c>
      <c r="G10" s="63" t="s">
        <v>130</v>
      </c>
      <c r="H10" s="62" t="s">
        <v>107</v>
      </c>
      <c r="I10" s="64">
        <v>45</v>
      </c>
      <c r="J10" s="64">
        <v>6782</v>
      </c>
      <c r="K10" s="64">
        <v>0</v>
      </c>
      <c r="L10" s="64">
        <v>0</v>
      </c>
      <c r="M10" s="64">
        <v>0</v>
      </c>
      <c r="N10" s="64">
        <v>7231</v>
      </c>
      <c r="O10" s="65">
        <v>11633024852</v>
      </c>
      <c r="P10" s="65">
        <v>50609448</v>
      </c>
      <c r="Q10" s="65">
        <v>42944043</v>
      </c>
      <c r="R10" s="64"/>
      <c r="S10" s="64"/>
      <c r="T10" s="64"/>
      <c r="U10" s="64">
        <v>0.0008594</v>
      </c>
      <c r="V10" s="64"/>
      <c r="W10" s="64"/>
      <c r="X10" s="64"/>
      <c r="Y10" s="64">
        <v>0.0031</v>
      </c>
      <c r="Z10" s="64"/>
      <c r="AA10" s="64"/>
      <c r="AB10" s="64"/>
      <c r="AC10" s="64"/>
      <c r="AD10" s="64"/>
      <c r="AE10" s="64"/>
      <c r="AF10" s="64"/>
      <c r="AG10" s="64">
        <v>36062.38</v>
      </c>
      <c r="AH10" s="64"/>
      <c r="AI10" s="64"/>
      <c r="AJ10" s="64"/>
      <c r="AK10" s="64">
        <v>-0.01</v>
      </c>
      <c r="AL10" s="64"/>
      <c r="AM10" s="64"/>
      <c r="AN10" s="64"/>
      <c r="AO10" s="64">
        <v>36062.37</v>
      </c>
    </row>
    <row r="11" spans="1:41" ht="12.75">
      <c r="A11" s="58">
        <v>10</v>
      </c>
      <c r="B11" s="62" t="s">
        <v>94</v>
      </c>
      <c r="C11" s="62" t="s">
        <v>104</v>
      </c>
      <c r="D11" s="62" t="s">
        <v>105</v>
      </c>
      <c r="E11" s="62" t="s">
        <v>97</v>
      </c>
      <c r="F11" s="63" t="s">
        <v>129</v>
      </c>
      <c r="G11" s="63" t="s">
        <v>123</v>
      </c>
      <c r="H11" s="62" t="s">
        <v>107</v>
      </c>
      <c r="I11" s="64">
        <v>95</v>
      </c>
      <c r="J11" s="64">
        <v>6782</v>
      </c>
      <c r="K11" s="64">
        <v>7233</v>
      </c>
      <c r="L11" s="64">
        <v>0</v>
      </c>
      <c r="M11" s="64">
        <v>0</v>
      </c>
      <c r="N11" s="64">
        <v>7224</v>
      </c>
      <c r="O11" s="65">
        <v>11633024852</v>
      </c>
      <c r="P11" s="65">
        <v>50609448</v>
      </c>
      <c r="Q11" s="65">
        <v>42944043</v>
      </c>
      <c r="R11" s="64">
        <v>0.0012793</v>
      </c>
      <c r="S11" s="64"/>
      <c r="T11" s="64"/>
      <c r="U11" s="64">
        <v>0.0001178</v>
      </c>
      <c r="V11" s="64">
        <v>0.0047</v>
      </c>
      <c r="W11" s="64"/>
      <c r="X11" s="64"/>
      <c r="Y11" s="64">
        <v>0.0004</v>
      </c>
      <c r="Z11" s="64"/>
      <c r="AA11" s="64"/>
      <c r="AB11" s="64"/>
      <c r="AC11" s="64"/>
      <c r="AD11" s="64">
        <v>54675.22</v>
      </c>
      <c r="AE11" s="64"/>
      <c r="AF11" s="64"/>
      <c r="AG11" s="64">
        <v>4653.21</v>
      </c>
      <c r="AH11" s="64">
        <v>-0.02</v>
      </c>
      <c r="AI11" s="64"/>
      <c r="AJ11" s="64"/>
      <c r="AK11" s="64">
        <v>0</v>
      </c>
      <c r="AL11" s="64">
        <v>54675.2</v>
      </c>
      <c r="AM11" s="64"/>
      <c r="AN11" s="64"/>
      <c r="AO11" s="64">
        <v>4653.21</v>
      </c>
    </row>
    <row r="12" spans="1:41" ht="12.75">
      <c r="A12" s="58">
        <v>11</v>
      </c>
      <c r="B12" s="62" t="s">
        <v>94</v>
      </c>
      <c r="C12" s="62" t="s">
        <v>104</v>
      </c>
      <c r="D12" s="62" t="s">
        <v>105</v>
      </c>
      <c r="E12" s="62" t="s">
        <v>103</v>
      </c>
      <c r="F12" s="63" t="s">
        <v>129</v>
      </c>
      <c r="G12" s="63" t="s">
        <v>128</v>
      </c>
      <c r="H12" s="62" t="s">
        <v>107</v>
      </c>
      <c r="I12" s="64">
        <v>15</v>
      </c>
      <c r="J12" s="64">
        <v>6782</v>
      </c>
      <c r="K12" s="64">
        <v>7235</v>
      </c>
      <c r="L12" s="64">
        <v>7234</v>
      </c>
      <c r="M12" s="64">
        <v>0</v>
      </c>
      <c r="N12" s="64">
        <v>7230</v>
      </c>
      <c r="O12" s="65">
        <v>9488276037</v>
      </c>
      <c r="P12" s="65">
        <v>50609448</v>
      </c>
      <c r="Q12" s="65">
        <v>42944043</v>
      </c>
      <c r="R12" s="64">
        <v>0.0047485</v>
      </c>
      <c r="S12" s="64">
        <v>0.0015</v>
      </c>
      <c r="T12" s="58"/>
      <c r="U12" s="64">
        <v>0.0005808</v>
      </c>
      <c r="V12" s="64">
        <v>0.0214</v>
      </c>
      <c r="W12" s="64">
        <v>0.0067</v>
      </c>
      <c r="X12" s="64"/>
      <c r="Y12" s="64">
        <v>0.0026</v>
      </c>
      <c r="Z12" s="64"/>
      <c r="AA12" s="64"/>
      <c r="AB12" s="64"/>
      <c r="AC12" s="64"/>
      <c r="AD12" s="64">
        <v>203049.11</v>
      </c>
      <c r="AE12" s="64">
        <v>63571.45</v>
      </c>
      <c r="AF12" s="64"/>
      <c r="AG12" s="64">
        <v>24669.52</v>
      </c>
      <c r="AH12" s="64">
        <v>-0.14</v>
      </c>
      <c r="AI12" s="64">
        <v>-1.22</v>
      </c>
      <c r="AJ12" s="64"/>
      <c r="AK12" s="64">
        <v>-0.01</v>
      </c>
      <c r="AL12" s="64">
        <v>203048.97</v>
      </c>
      <c r="AM12" s="64">
        <v>63570.23</v>
      </c>
      <c r="AN12" s="64"/>
      <c r="AO12" s="64">
        <v>24669.51</v>
      </c>
    </row>
    <row r="13" spans="1:41" ht="12.75">
      <c r="A13" s="58">
        <v>12</v>
      </c>
      <c r="B13" s="62" t="s">
        <v>94</v>
      </c>
      <c r="C13" s="62" t="s">
        <v>104</v>
      </c>
      <c r="D13" s="62" t="s">
        <v>105</v>
      </c>
      <c r="E13" s="62" t="s">
        <v>103</v>
      </c>
      <c r="F13" s="63" t="s">
        <v>129</v>
      </c>
      <c r="G13" s="63" t="s">
        <v>128</v>
      </c>
      <c r="H13" s="62" t="s">
        <v>107</v>
      </c>
      <c r="I13" s="64">
        <v>15</v>
      </c>
      <c r="J13" s="64">
        <v>6782</v>
      </c>
      <c r="K13" s="64">
        <v>0</v>
      </c>
      <c r="L13" s="64">
        <v>0</v>
      </c>
      <c r="M13" s="64">
        <v>0</v>
      </c>
      <c r="N13" s="64">
        <v>7232</v>
      </c>
      <c r="O13" s="65">
        <v>9488276037</v>
      </c>
      <c r="P13" s="65">
        <v>50609448</v>
      </c>
      <c r="Q13" s="65">
        <v>42944043</v>
      </c>
      <c r="R13" s="64"/>
      <c r="S13" s="64"/>
      <c r="T13" s="64"/>
      <c r="U13" s="64">
        <v>0.0008121</v>
      </c>
      <c r="V13" s="64"/>
      <c r="W13" s="64"/>
      <c r="X13" s="64"/>
      <c r="Y13" s="64">
        <v>0.0036</v>
      </c>
      <c r="Z13" s="64"/>
      <c r="AA13" s="64"/>
      <c r="AB13" s="64"/>
      <c r="AC13" s="64"/>
      <c r="AD13" s="64"/>
      <c r="AE13" s="64"/>
      <c r="AF13" s="64"/>
      <c r="AG13" s="64">
        <v>34157.79</v>
      </c>
      <c r="AH13" s="64"/>
      <c r="AI13" s="64"/>
      <c r="AJ13" s="64"/>
      <c r="AK13" s="64">
        <v>-0.01</v>
      </c>
      <c r="AL13" s="64"/>
      <c r="AM13" s="64"/>
      <c r="AN13" s="64"/>
      <c r="AO13" s="64">
        <v>34157.78</v>
      </c>
    </row>
    <row r="14" spans="1:41" ht="12.75">
      <c r="A14" s="58">
        <v>13</v>
      </c>
      <c r="B14" s="62" t="s">
        <v>94</v>
      </c>
      <c r="C14" s="62" t="s">
        <v>104</v>
      </c>
      <c r="D14" s="62" t="s">
        <v>105</v>
      </c>
      <c r="E14" s="62" t="s">
        <v>99</v>
      </c>
      <c r="F14" s="63" t="s">
        <v>129</v>
      </c>
      <c r="G14" s="63" t="s">
        <v>124</v>
      </c>
      <c r="H14" s="62" t="s">
        <v>107</v>
      </c>
      <c r="I14" s="64">
        <v>40</v>
      </c>
      <c r="J14" s="64">
        <v>6782</v>
      </c>
      <c r="K14" s="64">
        <v>7229</v>
      </c>
      <c r="L14" s="64">
        <v>0</v>
      </c>
      <c r="M14" s="64">
        <v>0</v>
      </c>
      <c r="N14" s="64">
        <v>7227</v>
      </c>
      <c r="O14" s="65">
        <v>11622267131</v>
      </c>
      <c r="P14" s="65">
        <v>50609448</v>
      </c>
      <c r="Q14" s="65">
        <v>42944043</v>
      </c>
      <c r="R14" s="64">
        <v>0.0006191</v>
      </c>
      <c r="S14" s="64"/>
      <c r="T14" s="64"/>
      <c r="U14" s="64">
        <v>0.0002343</v>
      </c>
      <c r="V14" s="64">
        <v>0.0022</v>
      </c>
      <c r="W14" s="64"/>
      <c r="X14" s="64"/>
      <c r="Y14" s="64">
        <v>0.0008</v>
      </c>
      <c r="Z14" s="64"/>
      <c r="AA14" s="64"/>
      <c r="AB14" s="64"/>
      <c r="AC14" s="64"/>
      <c r="AD14" s="64">
        <v>25568.99</v>
      </c>
      <c r="AE14" s="64"/>
      <c r="AF14" s="64"/>
      <c r="AG14" s="64">
        <v>9297.81</v>
      </c>
      <c r="AH14" s="64">
        <v>-0.01</v>
      </c>
      <c r="AI14" s="64"/>
      <c r="AJ14" s="64"/>
      <c r="AK14" s="64">
        <v>0</v>
      </c>
      <c r="AL14" s="64">
        <v>25568.98</v>
      </c>
      <c r="AM14" s="64"/>
      <c r="AN14" s="64"/>
      <c r="AO14" s="64">
        <v>9297.81</v>
      </c>
    </row>
    <row r="15" spans="1:41" s="90" customFormat="1" ht="12.75">
      <c r="A15" s="84">
        <v>14</v>
      </c>
      <c r="B15" s="91" t="s">
        <v>94</v>
      </c>
      <c r="C15" s="91" t="s">
        <v>104</v>
      </c>
      <c r="D15" s="91" t="s">
        <v>105</v>
      </c>
      <c r="E15" s="91" t="s">
        <v>100</v>
      </c>
      <c r="F15" s="92" t="s">
        <v>129</v>
      </c>
      <c r="G15" s="92" t="s">
        <v>125</v>
      </c>
      <c r="H15" s="91" t="s">
        <v>107</v>
      </c>
      <c r="I15" s="93">
        <v>38</v>
      </c>
      <c r="J15" s="93">
        <v>6782</v>
      </c>
      <c r="K15" s="93">
        <v>7225</v>
      </c>
      <c r="L15" s="93">
        <v>0</v>
      </c>
      <c r="M15" s="93">
        <v>0</v>
      </c>
      <c r="N15" s="93">
        <v>0</v>
      </c>
      <c r="O15" s="94">
        <v>11622267131</v>
      </c>
      <c r="P15" s="94">
        <v>50609448</v>
      </c>
      <c r="Q15" s="94">
        <v>42944043</v>
      </c>
      <c r="R15" s="93">
        <v>0.0002232</v>
      </c>
      <c r="S15" s="93"/>
      <c r="T15" s="93"/>
      <c r="U15" s="93"/>
      <c r="V15" s="93">
        <v>0.0008</v>
      </c>
      <c r="W15" s="93"/>
      <c r="X15" s="93"/>
      <c r="Y15" s="93"/>
      <c r="Z15" s="93"/>
      <c r="AA15" s="93"/>
      <c r="AB15" s="93"/>
      <c r="AC15" s="93"/>
      <c r="AD15" s="93">
        <v>9297.81</v>
      </c>
      <c r="AE15" s="93"/>
      <c r="AF15" s="93"/>
      <c r="AG15" s="93"/>
      <c r="AH15" s="93">
        <v>0</v>
      </c>
      <c r="AI15" s="93"/>
      <c r="AJ15" s="93"/>
      <c r="AK15" s="93"/>
      <c r="AL15" s="93">
        <v>9297.81</v>
      </c>
      <c r="AM15" s="93"/>
      <c r="AN15" s="93"/>
      <c r="AO15" s="93"/>
    </row>
    <row r="16" spans="1:41" s="73" customFormat="1" ht="12.75">
      <c r="A16" s="68">
        <v>15</v>
      </c>
      <c r="B16" s="69" t="s">
        <v>94</v>
      </c>
      <c r="C16" s="69" t="s">
        <v>104</v>
      </c>
      <c r="D16" s="69" t="s">
        <v>108</v>
      </c>
      <c r="E16" s="69" t="s">
        <v>106</v>
      </c>
      <c r="F16" s="70" t="s">
        <v>131</v>
      </c>
      <c r="G16" s="70" t="s">
        <v>130</v>
      </c>
      <c r="H16" s="69" t="s">
        <v>109</v>
      </c>
      <c r="I16" s="71">
        <v>45</v>
      </c>
      <c r="J16" s="71">
        <v>6781</v>
      </c>
      <c r="K16" s="71">
        <v>7223</v>
      </c>
      <c r="L16" s="71">
        <v>0</v>
      </c>
      <c r="M16" s="71">
        <v>0</v>
      </c>
      <c r="N16" s="71">
        <v>7218</v>
      </c>
      <c r="O16" s="72">
        <v>11633024852</v>
      </c>
      <c r="P16" s="72">
        <v>31386991</v>
      </c>
      <c r="Q16" s="72">
        <v>123593045</v>
      </c>
      <c r="R16" s="71">
        <v>0.0070058</v>
      </c>
      <c r="S16" s="71"/>
      <c r="T16" s="71"/>
      <c r="U16" s="71">
        <v>0.0003287</v>
      </c>
      <c r="V16" s="71">
        <v>0.0744</v>
      </c>
      <c r="W16" s="71"/>
      <c r="X16" s="71"/>
      <c r="Y16" s="71">
        <v>0.0034</v>
      </c>
      <c r="Z16" s="71"/>
      <c r="AA16" s="71"/>
      <c r="AB16" s="71"/>
      <c r="AC16" s="71"/>
      <c r="AD16" s="71">
        <v>865497.05</v>
      </c>
      <c r="AE16" s="71"/>
      <c r="AF16" s="71"/>
      <c r="AG16" s="71">
        <v>39552.28</v>
      </c>
      <c r="AH16" s="71">
        <v>-1.15</v>
      </c>
      <c r="AI16" s="71"/>
      <c r="AJ16" s="71"/>
      <c r="AK16" s="71">
        <v>-0.01</v>
      </c>
      <c r="AL16" s="71">
        <v>865495.9</v>
      </c>
      <c r="AM16" s="71"/>
      <c r="AN16" s="71"/>
      <c r="AO16" s="71">
        <v>39552.27</v>
      </c>
    </row>
    <row r="17" spans="1:41" s="73" customFormat="1" ht="12.75">
      <c r="A17" s="68">
        <v>16</v>
      </c>
      <c r="B17" s="69" t="s">
        <v>94</v>
      </c>
      <c r="C17" s="69" t="s">
        <v>104</v>
      </c>
      <c r="D17" s="69" t="s">
        <v>108</v>
      </c>
      <c r="E17" s="69" t="s">
        <v>97</v>
      </c>
      <c r="F17" s="70" t="s">
        <v>131</v>
      </c>
      <c r="G17" s="70" t="s">
        <v>123</v>
      </c>
      <c r="H17" s="69" t="s">
        <v>109</v>
      </c>
      <c r="I17" s="71">
        <v>95</v>
      </c>
      <c r="J17" s="71">
        <v>6781</v>
      </c>
      <c r="K17" s="71">
        <v>7221</v>
      </c>
      <c r="L17" s="71">
        <v>0</v>
      </c>
      <c r="M17" s="71">
        <v>0</v>
      </c>
      <c r="N17" s="71">
        <v>7216</v>
      </c>
      <c r="O17" s="72">
        <v>11633024852</v>
      </c>
      <c r="P17" s="72">
        <v>31386991</v>
      </c>
      <c r="Q17" s="72">
        <v>123593045</v>
      </c>
      <c r="R17" s="71">
        <v>0.0012793</v>
      </c>
      <c r="S17" s="71"/>
      <c r="T17" s="71"/>
      <c r="U17" s="71">
        <v>0.0001178</v>
      </c>
      <c r="V17" s="71">
        <v>0.0135</v>
      </c>
      <c r="W17" s="71"/>
      <c r="X17" s="71"/>
      <c r="Y17" s="71">
        <v>0.0012</v>
      </c>
      <c r="Z17" s="71"/>
      <c r="AA17" s="71"/>
      <c r="AB17" s="71"/>
      <c r="AC17" s="71"/>
      <c r="AD17" s="71">
        <v>157045.84</v>
      </c>
      <c r="AE17" s="71"/>
      <c r="AF17" s="71"/>
      <c r="AG17" s="71">
        <v>13959.63</v>
      </c>
      <c r="AH17" s="71">
        <v>-0.09</v>
      </c>
      <c r="AI17" s="71"/>
      <c r="AJ17" s="71"/>
      <c r="AK17" s="71">
        <v>0</v>
      </c>
      <c r="AL17" s="71">
        <v>157045.75</v>
      </c>
      <c r="AM17" s="71"/>
      <c r="AN17" s="71"/>
      <c r="AO17" s="71">
        <v>13959.63</v>
      </c>
    </row>
    <row r="18" spans="1:41" s="73" customFormat="1" ht="12.75">
      <c r="A18" s="68">
        <v>17</v>
      </c>
      <c r="B18" s="69" t="s">
        <v>94</v>
      </c>
      <c r="C18" s="69" t="s">
        <v>104</v>
      </c>
      <c r="D18" s="69" t="s">
        <v>108</v>
      </c>
      <c r="E18" s="69" t="s">
        <v>103</v>
      </c>
      <c r="F18" s="70" t="s">
        <v>131</v>
      </c>
      <c r="G18" s="70" t="s">
        <v>128</v>
      </c>
      <c r="H18" s="69" t="s">
        <v>109</v>
      </c>
      <c r="I18" s="71">
        <v>15</v>
      </c>
      <c r="J18" s="71">
        <v>6781</v>
      </c>
      <c r="K18" s="71">
        <v>7222</v>
      </c>
      <c r="L18" s="71">
        <v>0</v>
      </c>
      <c r="M18" s="71">
        <v>0</v>
      </c>
      <c r="N18" s="71">
        <v>7220</v>
      </c>
      <c r="O18" s="72">
        <v>9488276037</v>
      </c>
      <c r="P18" s="72">
        <v>31386991</v>
      </c>
      <c r="Q18" s="72">
        <v>123593045</v>
      </c>
      <c r="R18" s="71">
        <v>0.0047485</v>
      </c>
      <c r="S18" s="71"/>
      <c r="T18" s="71"/>
      <c r="U18" s="71">
        <v>0.0005808</v>
      </c>
      <c r="V18" s="71">
        <v>0.0618</v>
      </c>
      <c r="W18" s="71"/>
      <c r="X18" s="71"/>
      <c r="Y18" s="71">
        <v>0.0075</v>
      </c>
      <c r="Z18" s="71"/>
      <c r="AA18" s="71"/>
      <c r="AB18" s="71"/>
      <c r="AC18" s="71"/>
      <c r="AD18" s="71">
        <v>586375.46</v>
      </c>
      <c r="AE18" s="71"/>
      <c r="AF18" s="71"/>
      <c r="AG18" s="71">
        <v>71162.07</v>
      </c>
      <c r="AH18" s="71">
        <v>-0.5</v>
      </c>
      <c r="AI18" s="71"/>
      <c r="AJ18" s="71"/>
      <c r="AK18" s="71">
        <v>-0.03</v>
      </c>
      <c r="AL18" s="71">
        <v>586374.96</v>
      </c>
      <c r="AM18" s="71"/>
      <c r="AN18" s="71"/>
      <c r="AO18" s="71">
        <v>71162.04</v>
      </c>
    </row>
    <row r="19" spans="1:41" s="73" customFormat="1" ht="12.75">
      <c r="A19" s="68">
        <v>18</v>
      </c>
      <c r="B19" s="69" t="s">
        <v>94</v>
      </c>
      <c r="C19" s="69" t="s">
        <v>104</v>
      </c>
      <c r="D19" s="69" t="s">
        <v>108</v>
      </c>
      <c r="E19" s="69" t="s">
        <v>99</v>
      </c>
      <c r="F19" s="70" t="s">
        <v>131</v>
      </c>
      <c r="G19" s="70" t="s">
        <v>124</v>
      </c>
      <c r="H19" s="69" t="s">
        <v>109</v>
      </c>
      <c r="I19" s="71">
        <v>40</v>
      </c>
      <c r="J19" s="71">
        <v>6781</v>
      </c>
      <c r="K19" s="71">
        <v>7219</v>
      </c>
      <c r="L19" s="71">
        <v>0</v>
      </c>
      <c r="M19" s="71">
        <v>0</v>
      </c>
      <c r="N19" s="71">
        <v>0</v>
      </c>
      <c r="O19" s="72">
        <v>11622267131</v>
      </c>
      <c r="P19" s="72">
        <v>31386991</v>
      </c>
      <c r="Q19" s="72">
        <v>123593045</v>
      </c>
      <c r="R19" s="71">
        <v>0.0006191</v>
      </c>
      <c r="S19" s="71"/>
      <c r="T19" s="71"/>
      <c r="U19" s="71"/>
      <c r="V19" s="71">
        <v>0.0065</v>
      </c>
      <c r="W19" s="71"/>
      <c r="X19" s="71"/>
      <c r="Y19" s="71"/>
      <c r="Z19" s="71"/>
      <c r="AA19" s="71"/>
      <c r="AB19" s="71"/>
      <c r="AC19" s="71"/>
      <c r="AD19" s="71">
        <v>75544.74</v>
      </c>
      <c r="AE19" s="71"/>
      <c r="AF19" s="71"/>
      <c r="AG19" s="71"/>
      <c r="AH19" s="71">
        <v>-0.02</v>
      </c>
      <c r="AI19" s="71"/>
      <c r="AJ19" s="71"/>
      <c r="AK19" s="71"/>
      <c r="AL19" s="71">
        <v>75544.72</v>
      </c>
      <c r="AM19" s="71"/>
      <c r="AN19" s="71"/>
      <c r="AO19" s="71"/>
    </row>
    <row r="20" spans="1:41" s="73" customFormat="1" ht="12.75">
      <c r="A20" s="68">
        <v>19</v>
      </c>
      <c r="B20" s="69" t="s">
        <v>94</v>
      </c>
      <c r="C20" s="69" t="s">
        <v>104</v>
      </c>
      <c r="D20" s="69" t="s">
        <v>108</v>
      </c>
      <c r="E20" s="69" t="s">
        <v>100</v>
      </c>
      <c r="F20" s="70" t="s">
        <v>131</v>
      </c>
      <c r="G20" s="70" t="s">
        <v>125</v>
      </c>
      <c r="H20" s="69" t="s">
        <v>109</v>
      </c>
      <c r="I20" s="71">
        <v>38</v>
      </c>
      <c r="J20" s="71">
        <v>6781</v>
      </c>
      <c r="K20" s="71">
        <v>7217</v>
      </c>
      <c r="L20" s="71">
        <v>0</v>
      </c>
      <c r="M20" s="71">
        <v>0</v>
      </c>
      <c r="N20" s="71">
        <v>0</v>
      </c>
      <c r="O20" s="72">
        <v>11622267131</v>
      </c>
      <c r="P20" s="72">
        <v>31386991</v>
      </c>
      <c r="Q20" s="72">
        <v>123593045</v>
      </c>
      <c r="R20" s="71">
        <v>0.0002232</v>
      </c>
      <c r="S20" s="71"/>
      <c r="T20" s="71"/>
      <c r="U20" s="71"/>
      <c r="V20" s="71">
        <v>0.0023</v>
      </c>
      <c r="W20" s="71"/>
      <c r="X20" s="71"/>
      <c r="Y20" s="71"/>
      <c r="Z20" s="71"/>
      <c r="AA20" s="71"/>
      <c r="AB20" s="71"/>
      <c r="AC20" s="71"/>
      <c r="AD20" s="71">
        <v>26731.21</v>
      </c>
      <c r="AE20" s="71"/>
      <c r="AF20" s="71"/>
      <c r="AG20" s="71"/>
      <c r="AH20" s="71">
        <v>-0.01</v>
      </c>
      <c r="AI20" s="71"/>
      <c r="AJ20" s="71"/>
      <c r="AK20" s="71"/>
      <c r="AL20" s="71">
        <v>26731.2</v>
      </c>
      <c r="AM20" s="71"/>
      <c r="AN20" s="71"/>
      <c r="AO20" s="71"/>
    </row>
    <row r="21" spans="1:41" ht="12.75">
      <c r="A21" s="58">
        <v>20</v>
      </c>
      <c r="B21" s="62" t="s">
        <v>94</v>
      </c>
      <c r="C21" s="62" t="s">
        <v>110</v>
      </c>
      <c r="D21" s="62" t="s">
        <v>111</v>
      </c>
      <c r="E21" s="62" t="s">
        <v>97</v>
      </c>
      <c r="F21" s="63" t="s">
        <v>132</v>
      </c>
      <c r="G21" s="63" t="s">
        <v>123</v>
      </c>
      <c r="H21" s="62" t="s">
        <v>112</v>
      </c>
      <c r="I21" s="64">
        <v>95</v>
      </c>
      <c r="J21" s="64">
        <v>6783</v>
      </c>
      <c r="K21" s="64">
        <v>7242</v>
      </c>
      <c r="L21" s="64">
        <v>0</v>
      </c>
      <c r="M21" s="64">
        <v>0</v>
      </c>
      <c r="N21" s="64">
        <v>7237</v>
      </c>
      <c r="O21" s="65">
        <v>243650543</v>
      </c>
      <c r="P21" s="65">
        <v>7028892</v>
      </c>
      <c r="Q21" s="65">
        <v>38711622</v>
      </c>
      <c r="R21" s="64">
        <v>0.0012793</v>
      </c>
      <c r="S21" s="64"/>
      <c r="T21" s="64"/>
      <c r="U21" s="64">
        <v>0.0001178</v>
      </c>
      <c r="V21" s="64">
        <v>0.2032</v>
      </c>
      <c r="W21" s="64"/>
      <c r="X21" s="64"/>
      <c r="Y21" s="64">
        <v>0.0187</v>
      </c>
      <c r="Z21" s="64"/>
      <c r="AA21" s="64"/>
      <c r="AB21" s="64"/>
      <c r="AC21" s="64"/>
      <c r="AD21" s="64">
        <v>49509.79</v>
      </c>
      <c r="AE21" s="64"/>
      <c r="AF21" s="64"/>
      <c r="AG21" s="64">
        <v>4556.27</v>
      </c>
      <c r="AH21" s="64">
        <v>-145.67</v>
      </c>
      <c r="AI21" s="64"/>
      <c r="AJ21" s="64"/>
      <c r="AK21" s="64">
        <v>-13.35</v>
      </c>
      <c r="AL21" s="64">
        <v>49364.12</v>
      </c>
      <c r="AM21" s="64"/>
      <c r="AN21" s="64"/>
      <c r="AO21" s="64">
        <v>4542.92</v>
      </c>
    </row>
    <row r="22" spans="1:41" ht="12.75">
      <c r="A22" s="58">
        <v>21</v>
      </c>
      <c r="B22" s="62" t="s">
        <v>94</v>
      </c>
      <c r="C22" s="62" t="s">
        <v>110</v>
      </c>
      <c r="D22" s="62" t="s">
        <v>111</v>
      </c>
      <c r="E22" s="62" t="s">
        <v>113</v>
      </c>
      <c r="F22" s="63" t="s">
        <v>132</v>
      </c>
      <c r="G22" s="63" t="s">
        <v>133</v>
      </c>
      <c r="H22" s="62" t="s">
        <v>112</v>
      </c>
      <c r="I22" s="64">
        <v>51</v>
      </c>
      <c r="J22" s="64">
        <v>6783</v>
      </c>
      <c r="K22" s="64">
        <v>7246</v>
      </c>
      <c r="L22" s="64">
        <v>0</v>
      </c>
      <c r="M22" s="64">
        <v>0</v>
      </c>
      <c r="N22" s="64">
        <v>7239</v>
      </c>
      <c r="O22" s="65">
        <v>243553273</v>
      </c>
      <c r="P22" s="65">
        <v>6993038</v>
      </c>
      <c r="Q22" s="65">
        <v>38650206</v>
      </c>
      <c r="R22" s="64">
        <v>0.0056364</v>
      </c>
      <c r="S22" s="64"/>
      <c r="T22" s="64"/>
      <c r="U22" s="64">
        <v>0.000316</v>
      </c>
      <c r="V22" s="64">
        <v>0.8944</v>
      </c>
      <c r="W22" s="64"/>
      <c r="X22" s="64"/>
      <c r="Y22" s="64">
        <v>0.0501</v>
      </c>
      <c r="Z22" s="64"/>
      <c r="AA22" s="64"/>
      <c r="AB22" s="64"/>
      <c r="AC22" s="64"/>
      <c r="AD22" s="64">
        <v>217834.05</v>
      </c>
      <c r="AE22" s="64"/>
      <c r="AF22" s="64"/>
      <c r="AG22" s="64">
        <v>12202.02</v>
      </c>
      <c r="AH22" s="64">
        <v>-640.53</v>
      </c>
      <c r="AI22" s="64"/>
      <c r="AJ22" s="64"/>
      <c r="AK22" s="64">
        <v>-35.79</v>
      </c>
      <c r="AL22" s="64">
        <v>217193.52</v>
      </c>
      <c r="AM22" s="64"/>
      <c r="AN22" s="64"/>
      <c r="AO22" s="64">
        <v>12166.23</v>
      </c>
    </row>
    <row r="23" spans="1:41" ht="12.75">
      <c r="A23" s="58">
        <v>22</v>
      </c>
      <c r="B23" s="62" t="s">
        <v>94</v>
      </c>
      <c r="C23" s="62" t="s">
        <v>110</v>
      </c>
      <c r="D23" s="62" t="s">
        <v>111</v>
      </c>
      <c r="E23" s="62" t="s">
        <v>114</v>
      </c>
      <c r="F23" s="63" t="s">
        <v>132</v>
      </c>
      <c r="G23" s="63" t="s">
        <v>134</v>
      </c>
      <c r="H23" s="62" t="s">
        <v>112</v>
      </c>
      <c r="I23" s="64">
        <v>22</v>
      </c>
      <c r="J23" s="64">
        <v>6783</v>
      </c>
      <c r="K23" s="64">
        <v>7245</v>
      </c>
      <c r="L23" s="64">
        <v>0</v>
      </c>
      <c r="M23" s="64">
        <v>0</v>
      </c>
      <c r="N23" s="64">
        <v>7244</v>
      </c>
      <c r="O23" s="65">
        <v>243650543</v>
      </c>
      <c r="P23" s="65">
        <v>7028892</v>
      </c>
      <c r="Q23" s="65">
        <v>38711622</v>
      </c>
      <c r="R23" s="64">
        <v>0.004824</v>
      </c>
      <c r="S23" s="64"/>
      <c r="T23" s="64"/>
      <c r="U23" s="64">
        <v>0.0020175</v>
      </c>
      <c r="V23" s="64">
        <v>0.7664</v>
      </c>
      <c r="W23" s="64"/>
      <c r="X23" s="64"/>
      <c r="Y23" s="64">
        <v>0.3205</v>
      </c>
      <c r="Z23" s="64"/>
      <c r="AA23" s="64"/>
      <c r="AB23" s="64"/>
      <c r="AC23" s="64"/>
      <c r="AD23" s="64">
        <v>186733.78</v>
      </c>
      <c r="AE23" s="64"/>
      <c r="AF23" s="64"/>
      <c r="AG23" s="64">
        <v>78090</v>
      </c>
      <c r="AH23" s="64">
        <v>-548.9</v>
      </c>
      <c r="AI23" s="64"/>
      <c r="AJ23" s="64"/>
      <c r="AK23" s="64">
        <v>-229.57</v>
      </c>
      <c r="AL23" s="64">
        <v>186184.88</v>
      </c>
      <c r="AM23" s="64"/>
      <c r="AN23" s="64"/>
      <c r="AO23" s="64">
        <v>77860.43</v>
      </c>
    </row>
    <row r="24" spans="1:41" ht="12.75">
      <c r="A24" s="58">
        <v>23</v>
      </c>
      <c r="B24" s="62" t="s">
        <v>94</v>
      </c>
      <c r="C24" s="62" t="s">
        <v>110</v>
      </c>
      <c r="D24" s="62" t="s">
        <v>111</v>
      </c>
      <c r="E24" s="62" t="s">
        <v>115</v>
      </c>
      <c r="F24" s="63" t="s">
        <v>132</v>
      </c>
      <c r="G24" s="63" t="s">
        <v>135</v>
      </c>
      <c r="H24" s="62" t="s">
        <v>112</v>
      </c>
      <c r="I24" s="64">
        <v>61</v>
      </c>
      <c r="J24" s="64">
        <v>6783</v>
      </c>
      <c r="K24" s="64">
        <v>7243</v>
      </c>
      <c r="L24" s="64">
        <v>0</v>
      </c>
      <c r="M24" s="64">
        <v>0</v>
      </c>
      <c r="N24" s="64">
        <v>0</v>
      </c>
      <c r="O24" s="65">
        <v>243241075</v>
      </c>
      <c r="P24" s="65">
        <v>7005930</v>
      </c>
      <c r="Q24" s="65">
        <v>38653927</v>
      </c>
      <c r="R24" s="64">
        <v>0.0019848</v>
      </c>
      <c r="S24" s="64"/>
      <c r="T24" s="64"/>
      <c r="U24" s="64"/>
      <c r="V24" s="64">
        <v>0.3154</v>
      </c>
      <c r="W24" s="64"/>
      <c r="X24" s="64"/>
      <c r="Y24" s="64"/>
      <c r="Z24" s="64"/>
      <c r="AA24" s="64"/>
      <c r="AB24" s="64"/>
      <c r="AC24" s="64"/>
      <c r="AD24" s="64">
        <v>76718.24</v>
      </c>
      <c r="AE24" s="64"/>
      <c r="AF24" s="64"/>
      <c r="AG24" s="64"/>
      <c r="AH24" s="64">
        <v>-225.99</v>
      </c>
      <c r="AI24" s="64"/>
      <c r="AJ24" s="64"/>
      <c r="AK24" s="64"/>
      <c r="AL24" s="64">
        <v>76492.25</v>
      </c>
      <c r="AM24" s="64"/>
      <c r="AN24" s="64"/>
      <c r="AO24" s="64"/>
    </row>
    <row r="25" spans="1:41" ht="12.75">
      <c r="A25" s="58">
        <v>24</v>
      </c>
      <c r="B25" s="62" t="s">
        <v>94</v>
      </c>
      <c r="C25" s="62" t="s">
        <v>110</v>
      </c>
      <c r="D25" s="62" t="s">
        <v>111</v>
      </c>
      <c r="E25" s="62" t="s">
        <v>99</v>
      </c>
      <c r="F25" s="63" t="s">
        <v>132</v>
      </c>
      <c r="G25" s="63" t="s">
        <v>124</v>
      </c>
      <c r="H25" s="62" t="s">
        <v>112</v>
      </c>
      <c r="I25" s="64">
        <v>40</v>
      </c>
      <c r="J25" s="64">
        <v>6783</v>
      </c>
      <c r="K25" s="64">
        <v>7241</v>
      </c>
      <c r="L25" s="64">
        <v>0</v>
      </c>
      <c r="M25" s="64">
        <v>0</v>
      </c>
      <c r="N25" s="64">
        <v>0</v>
      </c>
      <c r="O25" s="65">
        <v>243650543</v>
      </c>
      <c r="P25" s="65">
        <v>7028892</v>
      </c>
      <c r="Q25" s="65">
        <v>38711622</v>
      </c>
      <c r="R25" s="64">
        <v>0.0006191</v>
      </c>
      <c r="S25" s="64"/>
      <c r="T25" s="64"/>
      <c r="U25" s="64"/>
      <c r="V25" s="64">
        <v>0.0983</v>
      </c>
      <c r="W25" s="64"/>
      <c r="X25" s="64"/>
      <c r="Y25" s="64"/>
      <c r="Z25" s="64"/>
      <c r="AA25" s="64"/>
      <c r="AB25" s="64"/>
      <c r="AC25" s="64"/>
      <c r="AD25" s="64">
        <v>23950.85</v>
      </c>
      <c r="AE25" s="64"/>
      <c r="AF25" s="64"/>
      <c r="AG25" s="64"/>
      <c r="AH25" s="64">
        <v>-70.33</v>
      </c>
      <c r="AI25" s="64"/>
      <c r="AJ25" s="64"/>
      <c r="AK25" s="64"/>
      <c r="AL25" s="64">
        <v>23880.52</v>
      </c>
      <c r="AM25" s="64"/>
      <c r="AN25" s="64"/>
      <c r="AO25" s="64"/>
    </row>
    <row r="26" spans="1:41" ht="12.75">
      <c r="A26" s="58">
        <v>25</v>
      </c>
      <c r="B26" s="58" t="s">
        <v>94</v>
      </c>
      <c r="C26" s="58" t="s">
        <v>110</v>
      </c>
      <c r="D26" s="58" t="s">
        <v>111</v>
      </c>
      <c r="E26" s="58" t="s">
        <v>100</v>
      </c>
      <c r="F26" s="66" t="s">
        <v>132</v>
      </c>
      <c r="G26" s="66" t="s">
        <v>125</v>
      </c>
      <c r="H26" s="58" t="s">
        <v>112</v>
      </c>
      <c r="I26" s="58">
        <v>38</v>
      </c>
      <c r="J26" s="58">
        <v>6783</v>
      </c>
      <c r="K26" s="58">
        <v>7238</v>
      </c>
      <c r="L26" s="58">
        <v>0</v>
      </c>
      <c r="M26" s="58">
        <v>0</v>
      </c>
      <c r="N26" s="58">
        <v>0</v>
      </c>
      <c r="O26" s="67">
        <v>243650543</v>
      </c>
      <c r="P26" s="67">
        <v>7028892</v>
      </c>
      <c r="Q26" s="67">
        <v>38711622</v>
      </c>
      <c r="R26" s="58">
        <v>0.0002232</v>
      </c>
      <c r="S26" s="58"/>
      <c r="T26" s="58"/>
      <c r="U26" s="58"/>
      <c r="V26" s="58">
        <v>0.0354</v>
      </c>
      <c r="W26" s="58"/>
      <c r="X26" s="58"/>
      <c r="Y26" s="58"/>
      <c r="Z26" s="58"/>
      <c r="AA26" s="58"/>
      <c r="AB26" s="58"/>
      <c r="AC26" s="58"/>
      <c r="AD26" s="58">
        <v>8625.23</v>
      </c>
      <c r="AE26" s="58"/>
      <c r="AF26" s="58"/>
      <c r="AG26" s="58"/>
      <c r="AH26" s="58">
        <v>-25.32</v>
      </c>
      <c r="AI26" s="58"/>
      <c r="AJ26" s="58"/>
      <c r="AK26" s="58"/>
      <c r="AL26" s="58">
        <v>8599.91</v>
      </c>
      <c r="AM26" s="58"/>
      <c r="AN26" s="58"/>
      <c r="AO26" s="58"/>
    </row>
    <row r="27" spans="1:41" s="90" customFormat="1" ht="12.75">
      <c r="A27" s="84">
        <v>26</v>
      </c>
      <c r="B27" s="84" t="s">
        <v>94</v>
      </c>
      <c r="C27" s="84" t="s">
        <v>110</v>
      </c>
      <c r="D27" s="84" t="s">
        <v>111</v>
      </c>
      <c r="E27" s="84" t="s">
        <v>116</v>
      </c>
      <c r="F27" s="88" t="s">
        <v>132</v>
      </c>
      <c r="G27" s="88" t="s">
        <v>136</v>
      </c>
      <c r="H27" s="84" t="s">
        <v>112</v>
      </c>
      <c r="I27" s="84">
        <v>92</v>
      </c>
      <c r="J27" s="84">
        <v>6783</v>
      </c>
      <c r="K27" s="84">
        <v>7240</v>
      </c>
      <c r="L27" s="84">
        <v>0</v>
      </c>
      <c r="M27" s="84">
        <v>0</v>
      </c>
      <c r="N27" s="84">
        <v>0</v>
      </c>
      <c r="O27" s="89">
        <v>243650543</v>
      </c>
      <c r="P27" s="89">
        <v>7028892</v>
      </c>
      <c r="Q27" s="89">
        <v>38711622</v>
      </c>
      <c r="R27" s="84">
        <v>0.0003824</v>
      </c>
      <c r="S27" s="84"/>
      <c r="T27" s="84"/>
      <c r="U27" s="84"/>
      <c r="V27" s="84">
        <v>0.0607</v>
      </c>
      <c r="W27" s="84"/>
      <c r="X27" s="84"/>
      <c r="Y27" s="84"/>
      <c r="Z27" s="84"/>
      <c r="AA27" s="84"/>
      <c r="AB27" s="84"/>
      <c r="AC27" s="84"/>
      <c r="AD27" s="84">
        <v>14789.59</v>
      </c>
      <c r="AE27" s="84"/>
      <c r="AF27" s="84"/>
      <c r="AG27" s="84"/>
      <c r="AH27" s="84">
        <v>-43.4</v>
      </c>
      <c r="AI27" s="84"/>
      <c r="AJ27" s="84"/>
      <c r="AK27" s="84"/>
      <c r="AL27" s="84">
        <v>14746.19</v>
      </c>
      <c r="AM27" s="84"/>
      <c r="AN27" s="84"/>
      <c r="AO27" s="84"/>
    </row>
    <row r="28" spans="1:41" s="73" customFormat="1" ht="12.75">
      <c r="A28" s="68">
        <v>27</v>
      </c>
      <c r="B28" s="68" t="s">
        <v>94</v>
      </c>
      <c r="C28" s="68" t="s">
        <v>137</v>
      </c>
      <c r="D28" s="68" t="s">
        <v>138</v>
      </c>
      <c r="E28" s="68" t="s">
        <v>97</v>
      </c>
      <c r="F28" s="74" t="s">
        <v>139</v>
      </c>
      <c r="G28" s="74" t="s">
        <v>123</v>
      </c>
      <c r="H28" s="68" t="s">
        <v>160</v>
      </c>
      <c r="I28" s="68">
        <v>95</v>
      </c>
      <c r="J28" s="68">
        <v>6664</v>
      </c>
      <c r="K28" s="68">
        <v>7253</v>
      </c>
      <c r="L28" s="68">
        <v>0</v>
      </c>
      <c r="M28" s="68">
        <v>0</v>
      </c>
      <c r="N28" s="68">
        <v>7249</v>
      </c>
      <c r="O28" s="75">
        <v>3777697842</v>
      </c>
      <c r="P28" s="75">
        <v>105384196</v>
      </c>
      <c r="Q28" s="75">
        <v>21077950</v>
      </c>
      <c r="R28" s="68">
        <v>0.0012793</v>
      </c>
      <c r="S28" s="68"/>
      <c r="T28" s="68"/>
      <c r="U28" s="68">
        <v>0.0001178</v>
      </c>
      <c r="V28" s="68">
        <v>0.0071</v>
      </c>
      <c r="W28" s="68"/>
      <c r="X28" s="68"/>
      <c r="Y28" s="68">
        <v>0.0006</v>
      </c>
      <c r="Z28" s="68"/>
      <c r="AA28" s="68"/>
      <c r="AB28" s="68"/>
      <c r="AC28" s="68"/>
      <c r="AD28" s="68">
        <v>26821.65</v>
      </c>
      <c r="AE28" s="68"/>
      <c r="AF28" s="68"/>
      <c r="AG28" s="68">
        <v>2266.62</v>
      </c>
      <c r="AH28" s="68">
        <v>0</v>
      </c>
      <c r="AI28" s="68"/>
      <c r="AJ28" s="68"/>
      <c r="AK28" s="68">
        <v>0</v>
      </c>
      <c r="AL28" s="68">
        <v>26821.65</v>
      </c>
      <c r="AM28" s="68"/>
      <c r="AN28" s="68"/>
      <c r="AO28" s="68">
        <v>2266.62</v>
      </c>
    </row>
    <row r="29" spans="1:41" s="73" customFormat="1" ht="12.75">
      <c r="A29" s="68">
        <v>28</v>
      </c>
      <c r="B29" s="68" t="s">
        <v>94</v>
      </c>
      <c r="C29" s="68" t="s">
        <v>137</v>
      </c>
      <c r="D29" s="68" t="s">
        <v>138</v>
      </c>
      <c r="E29" s="68" t="s">
        <v>99</v>
      </c>
      <c r="F29" s="74" t="s">
        <v>139</v>
      </c>
      <c r="G29" s="74" t="s">
        <v>124</v>
      </c>
      <c r="H29" s="68" t="s">
        <v>160</v>
      </c>
      <c r="I29" s="68">
        <v>40</v>
      </c>
      <c r="J29" s="68">
        <v>6664</v>
      </c>
      <c r="K29" s="68">
        <v>7252</v>
      </c>
      <c r="L29" s="68">
        <v>0</v>
      </c>
      <c r="M29" s="68">
        <v>0</v>
      </c>
      <c r="N29" s="68">
        <v>0</v>
      </c>
      <c r="O29" s="75">
        <v>3777697842</v>
      </c>
      <c r="P29" s="75">
        <v>105384196</v>
      </c>
      <c r="Q29" s="75">
        <v>21077950</v>
      </c>
      <c r="R29" s="68">
        <v>0.0006191</v>
      </c>
      <c r="S29" s="68"/>
      <c r="T29" s="68"/>
      <c r="U29" s="68"/>
      <c r="V29" s="68">
        <v>0.0034</v>
      </c>
      <c r="W29" s="68"/>
      <c r="X29" s="68"/>
      <c r="Y29" s="68"/>
      <c r="Z29" s="68"/>
      <c r="AA29" s="68"/>
      <c r="AB29" s="68"/>
      <c r="AC29" s="68"/>
      <c r="AD29" s="68">
        <v>12844.17</v>
      </c>
      <c r="AE29" s="68"/>
      <c r="AF29" s="68"/>
      <c r="AG29" s="68"/>
      <c r="AH29" s="68">
        <v>0</v>
      </c>
      <c r="AI29" s="68"/>
      <c r="AJ29" s="68"/>
      <c r="AK29" s="68"/>
      <c r="AL29" s="68">
        <v>12844.17</v>
      </c>
      <c r="AM29" s="68"/>
      <c r="AN29" s="68"/>
      <c r="AO29" s="68"/>
    </row>
    <row r="30" spans="1:41" s="73" customFormat="1" ht="12.75">
      <c r="A30" s="68">
        <v>29</v>
      </c>
      <c r="B30" s="68" t="s">
        <v>94</v>
      </c>
      <c r="C30" s="68" t="s">
        <v>137</v>
      </c>
      <c r="D30" s="68" t="s">
        <v>138</v>
      </c>
      <c r="E30" s="68" t="s">
        <v>100</v>
      </c>
      <c r="F30" s="74" t="s">
        <v>139</v>
      </c>
      <c r="G30" s="74" t="s">
        <v>125</v>
      </c>
      <c r="H30" s="68" t="s">
        <v>160</v>
      </c>
      <c r="I30" s="68">
        <v>38</v>
      </c>
      <c r="J30" s="68">
        <v>6664</v>
      </c>
      <c r="K30" s="68">
        <v>7250</v>
      </c>
      <c r="L30" s="68">
        <v>0</v>
      </c>
      <c r="M30" s="68">
        <v>0</v>
      </c>
      <c r="N30" s="68">
        <v>0</v>
      </c>
      <c r="O30" s="75">
        <v>3777697842</v>
      </c>
      <c r="P30" s="75">
        <v>105384196</v>
      </c>
      <c r="Q30" s="75">
        <v>21077950</v>
      </c>
      <c r="R30" s="68">
        <v>0.0002232</v>
      </c>
      <c r="S30" s="68"/>
      <c r="T30" s="68"/>
      <c r="U30" s="68"/>
      <c r="V30" s="68">
        <v>0.0012</v>
      </c>
      <c r="W30" s="68"/>
      <c r="X30" s="68"/>
      <c r="Y30" s="68"/>
      <c r="Z30" s="68"/>
      <c r="AA30" s="68"/>
      <c r="AB30" s="68"/>
      <c r="AC30" s="68"/>
      <c r="AD30" s="68">
        <v>4533.24</v>
      </c>
      <c r="AE30" s="68"/>
      <c r="AF30" s="68"/>
      <c r="AG30" s="68"/>
      <c r="AH30" s="68">
        <v>0</v>
      </c>
      <c r="AI30" s="68"/>
      <c r="AJ30" s="68"/>
      <c r="AK30" s="68"/>
      <c r="AL30" s="68">
        <v>4533.24</v>
      </c>
      <c r="AM30" s="68"/>
      <c r="AN30" s="68"/>
      <c r="AO30" s="68"/>
    </row>
    <row r="31" spans="1:41" s="73" customFormat="1" ht="12.75">
      <c r="A31" s="68">
        <v>30</v>
      </c>
      <c r="B31" s="68" t="s">
        <v>94</v>
      </c>
      <c r="C31" s="68" t="s">
        <v>137</v>
      </c>
      <c r="D31" s="68" t="s">
        <v>138</v>
      </c>
      <c r="E31" s="68" t="s">
        <v>117</v>
      </c>
      <c r="F31" s="74" t="s">
        <v>139</v>
      </c>
      <c r="G31" s="74" t="s">
        <v>144</v>
      </c>
      <c r="H31" s="68" t="s">
        <v>160</v>
      </c>
      <c r="I31" s="68">
        <v>50</v>
      </c>
      <c r="J31" s="68">
        <v>6664</v>
      </c>
      <c r="K31" s="68">
        <v>7255</v>
      </c>
      <c r="L31" s="68">
        <v>0</v>
      </c>
      <c r="M31" s="68">
        <v>0</v>
      </c>
      <c r="N31" s="68">
        <v>7251</v>
      </c>
      <c r="O31" s="75">
        <v>3726631985</v>
      </c>
      <c r="P31" s="75">
        <v>57827815</v>
      </c>
      <c r="Q31" s="75">
        <v>17537987</v>
      </c>
      <c r="R31" s="68">
        <v>0.0047403</v>
      </c>
      <c r="S31" s="68"/>
      <c r="T31" s="68"/>
      <c r="U31" s="68">
        <v>0.0002992</v>
      </c>
      <c r="V31" s="68">
        <v>0.0223</v>
      </c>
      <c r="W31" s="68"/>
      <c r="X31" s="68"/>
      <c r="Y31" s="68">
        <v>0.0014</v>
      </c>
      <c r="Z31" s="68"/>
      <c r="AA31" s="68"/>
      <c r="AB31" s="68"/>
      <c r="AC31" s="68"/>
      <c r="AD31" s="68">
        <v>83103.89</v>
      </c>
      <c r="AE31" s="68"/>
      <c r="AF31" s="68"/>
      <c r="AG31" s="68">
        <v>5217.28</v>
      </c>
      <c r="AH31" s="68">
        <v>-0.15</v>
      </c>
      <c r="AI31" s="68"/>
      <c r="AJ31" s="68"/>
      <c r="AK31" s="68">
        <v>0</v>
      </c>
      <c r="AL31" s="68">
        <v>83103.74</v>
      </c>
      <c r="AM31" s="68"/>
      <c r="AN31" s="68"/>
      <c r="AO31" s="68">
        <v>5217.28</v>
      </c>
    </row>
    <row r="32" spans="1:41" s="73" customFormat="1" ht="12.75">
      <c r="A32" s="68">
        <v>31</v>
      </c>
      <c r="B32" s="68" t="s">
        <v>94</v>
      </c>
      <c r="C32" s="68" t="s">
        <v>137</v>
      </c>
      <c r="D32" s="68" t="s">
        <v>138</v>
      </c>
      <c r="E32" s="68" t="s">
        <v>118</v>
      </c>
      <c r="F32" s="74" t="s">
        <v>139</v>
      </c>
      <c r="G32" s="74" t="s">
        <v>143</v>
      </c>
      <c r="H32" s="68" t="s">
        <v>160</v>
      </c>
      <c r="I32" s="68">
        <v>36</v>
      </c>
      <c r="J32" s="68">
        <v>6664</v>
      </c>
      <c r="K32" s="68">
        <v>7247</v>
      </c>
      <c r="L32" s="68">
        <v>0</v>
      </c>
      <c r="M32" s="68">
        <v>0</v>
      </c>
      <c r="N32" s="68">
        <v>7248</v>
      </c>
      <c r="O32" s="75">
        <v>3353002315</v>
      </c>
      <c r="P32" s="75">
        <v>208553</v>
      </c>
      <c r="Q32" s="75">
        <v>24874</v>
      </c>
      <c r="R32" s="68">
        <v>0.0046412</v>
      </c>
      <c r="S32" s="68"/>
      <c r="T32" s="68"/>
      <c r="U32" s="68">
        <v>0.0007332</v>
      </c>
      <c r="V32" s="68">
        <v>0</v>
      </c>
      <c r="W32" s="68"/>
      <c r="X32" s="68"/>
      <c r="Y32" s="68">
        <v>0</v>
      </c>
      <c r="Z32" s="68"/>
      <c r="AA32" s="68"/>
      <c r="AB32" s="68"/>
      <c r="AC32" s="68"/>
      <c r="AD32" s="68"/>
      <c r="AE32" s="68"/>
      <c r="AF32" s="68"/>
      <c r="AG32" s="68"/>
      <c r="AH32" s="68">
        <v>0</v>
      </c>
      <c r="AI32" s="68"/>
      <c r="AJ32" s="68"/>
      <c r="AK32" s="68">
        <v>0</v>
      </c>
      <c r="AL32" s="68">
        <v>0</v>
      </c>
      <c r="AM32" s="68"/>
      <c r="AN32" s="68"/>
      <c r="AO32" s="68">
        <v>0</v>
      </c>
    </row>
    <row r="33" spans="1:41" s="73" customFormat="1" ht="12.75">
      <c r="A33" s="68">
        <v>32</v>
      </c>
      <c r="B33" s="68" t="s">
        <v>94</v>
      </c>
      <c r="C33" s="68" t="s">
        <v>137</v>
      </c>
      <c r="D33" s="68" t="s">
        <v>138</v>
      </c>
      <c r="E33" s="68" t="s">
        <v>103</v>
      </c>
      <c r="F33" s="74" t="s">
        <v>139</v>
      </c>
      <c r="G33" s="74" t="s">
        <v>128</v>
      </c>
      <c r="H33" s="68" t="s">
        <v>160</v>
      </c>
      <c r="I33" s="68">
        <v>15</v>
      </c>
      <c r="J33" s="68">
        <v>6664</v>
      </c>
      <c r="K33" s="68">
        <v>7258</v>
      </c>
      <c r="L33" s="68">
        <v>0</v>
      </c>
      <c r="M33" s="68">
        <v>0</v>
      </c>
      <c r="N33" s="68">
        <v>7256</v>
      </c>
      <c r="O33" s="75">
        <v>424695527</v>
      </c>
      <c r="P33" s="75">
        <v>105175643</v>
      </c>
      <c r="Q33" s="75">
        <v>21053076</v>
      </c>
      <c r="R33" s="68">
        <v>0.0047485</v>
      </c>
      <c r="S33" s="68"/>
      <c r="T33" s="68"/>
      <c r="U33" s="68">
        <v>0.0005808</v>
      </c>
      <c r="V33" s="68">
        <v>0.2353</v>
      </c>
      <c r="W33" s="68"/>
      <c r="X33" s="68"/>
      <c r="Y33" s="68">
        <v>0.0287</v>
      </c>
      <c r="Z33" s="68"/>
      <c r="AA33" s="68"/>
      <c r="AB33" s="68"/>
      <c r="AC33" s="68"/>
      <c r="AD33" s="68">
        <v>99930.86</v>
      </c>
      <c r="AE33" s="68"/>
      <c r="AF33" s="68"/>
      <c r="AG33" s="68">
        <v>12188.76</v>
      </c>
      <c r="AH33" s="68">
        <v>-0.5</v>
      </c>
      <c r="AI33" s="68"/>
      <c r="AJ33" s="68"/>
      <c r="AK33" s="68">
        <v>-0.04</v>
      </c>
      <c r="AL33" s="68">
        <v>99930.36</v>
      </c>
      <c r="AM33" s="68"/>
      <c r="AN33" s="68"/>
      <c r="AO33" s="68">
        <v>12188.72</v>
      </c>
    </row>
    <row r="34" spans="1:41" s="73" customFormat="1" ht="12.75">
      <c r="A34" s="68">
        <v>33</v>
      </c>
      <c r="B34" s="68" t="s">
        <v>94</v>
      </c>
      <c r="C34" s="68" t="s">
        <v>137</v>
      </c>
      <c r="D34" s="68" t="s">
        <v>138</v>
      </c>
      <c r="E34" s="68" t="s">
        <v>119</v>
      </c>
      <c r="F34" s="74" t="s">
        <v>139</v>
      </c>
      <c r="G34" s="74" t="s">
        <v>142</v>
      </c>
      <c r="H34" s="68" t="s">
        <v>160</v>
      </c>
      <c r="I34" s="68">
        <v>80</v>
      </c>
      <c r="J34" s="68">
        <v>6664</v>
      </c>
      <c r="K34" s="68">
        <v>7259</v>
      </c>
      <c r="L34" s="68">
        <v>0</v>
      </c>
      <c r="M34" s="68">
        <v>0</v>
      </c>
      <c r="N34" s="68">
        <v>0</v>
      </c>
      <c r="O34" s="75">
        <v>49918124</v>
      </c>
      <c r="P34" s="75">
        <v>46403668</v>
      </c>
      <c r="Q34" s="75">
        <v>3514456</v>
      </c>
      <c r="R34" s="68">
        <v>0.0041425</v>
      </c>
      <c r="S34" s="68"/>
      <c r="T34" s="68"/>
      <c r="U34" s="68"/>
      <c r="V34" s="68">
        <v>0.2916</v>
      </c>
      <c r="W34" s="68"/>
      <c r="X34" s="68"/>
      <c r="Y34" s="68"/>
      <c r="Z34" s="68"/>
      <c r="AA34" s="68"/>
      <c r="AB34" s="68"/>
      <c r="AC34" s="68"/>
      <c r="AD34" s="68">
        <v>14556.12</v>
      </c>
      <c r="AE34" s="68"/>
      <c r="AF34" s="68"/>
      <c r="AG34" s="68"/>
      <c r="AH34" s="68">
        <v>-0.47</v>
      </c>
      <c r="AI34" s="68"/>
      <c r="AJ34" s="68"/>
      <c r="AK34" s="68"/>
      <c r="AL34" s="68">
        <v>14555.65</v>
      </c>
      <c r="AM34" s="68"/>
      <c r="AN34" s="68"/>
      <c r="AO34" s="68"/>
    </row>
    <row r="35" spans="1:41" s="73" customFormat="1" ht="12.75">
      <c r="A35" s="68">
        <v>34</v>
      </c>
      <c r="B35" s="68" t="s">
        <v>94</v>
      </c>
      <c r="C35" s="68" t="s">
        <v>137</v>
      </c>
      <c r="D35" s="68" t="s">
        <v>138</v>
      </c>
      <c r="E35" s="68" t="s">
        <v>120</v>
      </c>
      <c r="F35" s="74" t="s">
        <v>139</v>
      </c>
      <c r="G35" s="74" t="s">
        <v>141</v>
      </c>
      <c r="H35" s="68" t="s">
        <v>160</v>
      </c>
      <c r="I35" s="68">
        <v>58</v>
      </c>
      <c r="J35" s="68">
        <v>6664</v>
      </c>
      <c r="K35" s="68">
        <v>7257</v>
      </c>
      <c r="L35" s="68">
        <v>0</v>
      </c>
      <c r="M35" s="68">
        <v>0</v>
      </c>
      <c r="N35" s="68">
        <v>0</v>
      </c>
      <c r="O35" s="75">
        <v>1066223</v>
      </c>
      <c r="P35" s="75">
        <v>1040716</v>
      </c>
      <c r="Q35" s="75">
        <v>25507</v>
      </c>
      <c r="R35" s="68">
        <v>0.0017196</v>
      </c>
      <c r="S35" s="68"/>
      <c r="T35" s="68"/>
      <c r="U35" s="68"/>
      <c r="V35" s="68">
        <v>0.0411</v>
      </c>
      <c r="W35" s="68"/>
      <c r="X35" s="68"/>
      <c r="Y35" s="68"/>
      <c r="Z35" s="68"/>
      <c r="AA35" s="68"/>
      <c r="AB35" s="68"/>
      <c r="AC35" s="68"/>
      <c r="AD35" s="68">
        <v>43.82</v>
      </c>
      <c r="AE35" s="68"/>
      <c r="AF35" s="68"/>
      <c r="AG35" s="68"/>
      <c r="AH35" s="68">
        <v>0</v>
      </c>
      <c r="AI35" s="68"/>
      <c r="AJ35" s="68"/>
      <c r="AK35" s="68"/>
      <c r="AL35" s="68">
        <v>43.82</v>
      </c>
      <c r="AM35" s="68"/>
      <c r="AN35" s="68"/>
      <c r="AO35" s="68"/>
    </row>
    <row r="36" spans="1:41" s="73" customFormat="1" ht="12.75">
      <c r="A36" s="68">
        <v>35</v>
      </c>
      <c r="B36" s="69" t="s">
        <v>94</v>
      </c>
      <c r="C36" s="68" t="s">
        <v>137</v>
      </c>
      <c r="D36" s="68" t="s">
        <v>138</v>
      </c>
      <c r="E36" s="68" t="s">
        <v>121</v>
      </c>
      <c r="F36" s="74" t="s">
        <v>139</v>
      </c>
      <c r="G36" s="74" t="s">
        <v>140</v>
      </c>
      <c r="H36" s="68" t="s">
        <v>160</v>
      </c>
      <c r="I36" s="68">
        <v>94</v>
      </c>
      <c r="J36" s="68">
        <v>6664</v>
      </c>
      <c r="K36" s="68">
        <v>7254</v>
      </c>
      <c r="L36" s="68">
        <v>0</v>
      </c>
      <c r="M36" s="68">
        <v>0</v>
      </c>
      <c r="N36" s="68">
        <v>0</v>
      </c>
      <c r="O36" s="75">
        <v>3777697842</v>
      </c>
      <c r="P36" s="75">
        <v>105384196</v>
      </c>
      <c r="Q36" s="75">
        <v>21077950</v>
      </c>
      <c r="R36" s="68">
        <v>0.0020074</v>
      </c>
      <c r="S36" s="68"/>
      <c r="T36" s="68"/>
      <c r="U36" s="68"/>
      <c r="V36" s="68">
        <v>0.0112</v>
      </c>
      <c r="W36" s="68"/>
      <c r="X36" s="68"/>
      <c r="Y36" s="68"/>
      <c r="Z36" s="68"/>
      <c r="AA36" s="68"/>
      <c r="AB36" s="68"/>
      <c r="AC36" s="68"/>
      <c r="AD36" s="68">
        <v>42310.22</v>
      </c>
      <c r="AE36" s="68"/>
      <c r="AF36" s="68"/>
      <c r="AG36" s="68"/>
      <c r="AH36" s="68">
        <v>-0.02</v>
      </c>
      <c r="AI36" s="68"/>
      <c r="AJ36" s="68"/>
      <c r="AK36" s="68"/>
      <c r="AL36" s="68">
        <v>42310.2</v>
      </c>
      <c r="AM36" s="68"/>
      <c r="AN36" s="68"/>
      <c r="AO36" s="68"/>
    </row>
    <row r="37" spans="1:41" s="90" customFormat="1" ht="12.75">
      <c r="A37" s="84">
        <v>36</v>
      </c>
      <c r="B37" s="91" t="s">
        <v>94</v>
      </c>
      <c r="C37" s="84" t="s">
        <v>137</v>
      </c>
      <c r="D37" s="84" t="s">
        <v>162</v>
      </c>
      <c r="E37" s="84" t="s">
        <v>97</v>
      </c>
      <c r="F37" s="88" t="s">
        <v>163</v>
      </c>
      <c r="G37" s="88" t="s">
        <v>123</v>
      </c>
      <c r="H37" s="84" t="s">
        <v>161</v>
      </c>
      <c r="I37" s="84">
        <v>95</v>
      </c>
      <c r="J37" s="84">
        <v>6820</v>
      </c>
      <c r="K37" s="84">
        <v>7288</v>
      </c>
      <c r="L37" s="84">
        <v>0</v>
      </c>
      <c r="M37" s="84">
        <v>0</v>
      </c>
      <c r="N37" s="84">
        <v>7283</v>
      </c>
      <c r="O37" s="89">
        <v>3726631985</v>
      </c>
      <c r="P37" s="89">
        <v>124231412</v>
      </c>
      <c r="Q37" s="89">
        <v>16122225</v>
      </c>
      <c r="R37" s="84">
        <v>0.0012793</v>
      </c>
      <c r="S37" s="84"/>
      <c r="T37" s="84"/>
      <c r="U37" s="84">
        <v>0.0001178</v>
      </c>
      <c r="V37" s="84">
        <v>0.0055</v>
      </c>
      <c r="W37" s="84"/>
      <c r="X37" s="84"/>
      <c r="Y37" s="84">
        <v>0.0005</v>
      </c>
      <c r="Z37" s="84"/>
      <c r="AA37" s="84"/>
      <c r="AB37" s="84"/>
      <c r="AC37" s="84"/>
      <c r="AD37" s="84">
        <v>20496.48</v>
      </c>
      <c r="AE37" s="84"/>
      <c r="AF37" s="84"/>
      <c r="AG37" s="84">
        <v>1863.32</v>
      </c>
      <c r="AH37" s="84">
        <v>0</v>
      </c>
      <c r="AI37" s="84"/>
      <c r="AJ37" s="84"/>
      <c r="AK37" s="84">
        <v>0</v>
      </c>
      <c r="AL37" s="84">
        <v>20496.48</v>
      </c>
      <c r="AM37" s="84"/>
      <c r="AN37" s="84"/>
      <c r="AO37" s="84">
        <v>1863.32</v>
      </c>
    </row>
    <row r="38" spans="1:41" s="90" customFormat="1" ht="12.75">
      <c r="A38" s="84">
        <v>37</v>
      </c>
      <c r="B38" s="91" t="s">
        <v>94</v>
      </c>
      <c r="C38" s="84" t="s">
        <v>137</v>
      </c>
      <c r="D38" s="84" t="s">
        <v>162</v>
      </c>
      <c r="E38" s="84" t="s">
        <v>99</v>
      </c>
      <c r="F38" s="88" t="s">
        <v>163</v>
      </c>
      <c r="G38" s="88" t="s">
        <v>124</v>
      </c>
      <c r="H38" s="84" t="s">
        <v>161</v>
      </c>
      <c r="I38" s="84">
        <v>40</v>
      </c>
      <c r="J38" s="84">
        <v>6820</v>
      </c>
      <c r="K38" s="84">
        <v>7286</v>
      </c>
      <c r="L38" s="84">
        <v>0</v>
      </c>
      <c r="M38" s="84">
        <v>0</v>
      </c>
      <c r="N38" s="84">
        <v>0</v>
      </c>
      <c r="O38" s="89">
        <v>3726631985</v>
      </c>
      <c r="P38" s="89">
        <v>124231412</v>
      </c>
      <c r="Q38" s="89">
        <v>16122225</v>
      </c>
      <c r="R38" s="84">
        <v>0.0006191</v>
      </c>
      <c r="S38" s="84"/>
      <c r="T38" s="84"/>
      <c r="U38" s="84"/>
      <c r="V38" s="84">
        <v>0.0026</v>
      </c>
      <c r="W38" s="84"/>
      <c r="X38" s="84"/>
      <c r="Y38" s="84"/>
      <c r="Z38" s="84"/>
      <c r="AA38" s="84"/>
      <c r="AB38" s="84"/>
      <c r="AC38" s="84"/>
      <c r="AD38" s="84">
        <v>9689.24</v>
      </c>
      <c r="AE38" s="84"/>
      <c r="AF38" s="84"/>
      <c r="AG38" s="84"/>
      <c r="AH38" s="84">
        <v>0</v>
      </c>
      <c r="AI38" s="84"/>
      <c r="AJ38" s="84"/>
      <c r="AK38" s="84"/>
      <c r="AL38" s="84">
        <v>9689.24</v>
      </c>
      <c r="AM38" s="84"/>
      <c r="AN38" s="84"/>
      <c r="AO38" s="84"/>
    </row>
    <row r="39" spans="1:41" s="90" customFormat="1" ht="12.75">
      <c r="A39" s="84">
        <v>38</v>
      </c>
      <c r="B39" s="91" t="s">
        <v>94</v>
      </c>
      <c r="C39" s="84" t="s">
        <v>137</v>
      </c>
      <c r="D39" s="84" t="s">
        <v>162</v>
      </c>
      <c r="E39" s="84" t="s">
        <v>100</v>
      </c>
      <c r="F39" s="88" t="s">
        <v>163</v>
      </c>
      <c r="G39" s="88" t="s">
        <v>125</v>
      </c>
      <c r="H39" s="84" t="s">
        <v>161</v>
      </c>
      <c r="I39" s="84">
        <v>38</v>
      </c>
      <c r="J39" s="84">
        <v>6820</v>
      </c>
      <c r="K39" s="84">
        <v>7284</v>
      </c>
      <c r="L39" s="84">
        <v>0</v>
      </c>
      <c r="M39" s="84">
        <v>0</v>
      </c>
      <c r="N39" s="84">
        <v>0</v>
      </c>
      <c r="O39" s="89">
        <v>3726631985</v>
      </c>
      <c r="P39" s="89">
        <v>124231412</v>
      </c>
      <c r="Q39" s="89">
        <v>16122225</v>
      </c>
      <c r="R39" s="84">
        <v>0.0002232</v>
      </c>
      <c r="S39" s="84"/>
      <c r="T39" s="84"/>
      <c r="U39" s="84"/>
      <c r="V39" s="84">
        <v>0.0009</v>
      </c>
      <c r="W39" s="84"/>
      <c r="X39" s="84"/>
      <c r="Y39" s="84"/>
      <c r="Z39" s="84"/>
      <c r="AA39" s="84"/>
      <c r="AB39" s="84"/>
      <c r="AC39" s="84"/>
      <c r="AD39" s="84">
        <v>3353.97</v>
      </c>
      <c r="AE39" s="84"/>
      <c r="AF39" s="84"/>
      <c r="AG39" s="84"/>
      <c r="AH39" s="84">
        <v>0</v>
      </c>
      <c r="AI39" s="84"/>
      <c r="AJ39" s="84"/>
      <c r="AK39" s="84"/>
      <c r="AL39" s="84">
        <v>3353.97</v>
      </c>
      <c r="AM39" s="84"/>
      <c r="AN39" s="84"/>
      <c r="AO39" s="84"/>
    </row>
    <row r="40" spans="1:41" s="90" customFormat="1" ht="12.75">
      <c r="A40" s="84">
        <v>39</v>
      </c>
      <c r="B40" s="91" t="s">
        <v>94</v>
      </c>
      <c r="C40" s="84" t="s">
        <v>137</v>
      </c>
      <c r="D40" s="84" t="s">
        <v>162</v>
      </c>
      <c r="E40" s="84" t="s">
        <v>117</v>
      </c>
      <c r="F40" s="88" t="s">
        <v>163</v>
      </c>
      <c r="G40" s="88" t="s">
        <v>144</v>
      </c>
      <c r="H40" s="84" t="s">
        <v>161</v>
      </c>
      <c r="I40" s="84">
        <v>50</v>
      </c>
      <c r="J40" s="84">
        <v>6820</v>
      </c>
      <c r="K40" s="84">
        <v>7290</v>
      </c>
      <c r="L40" s="84">
        <v>0</v>
      </c>
      <c r="M40" s="84">
        <v>0</v>
      </c>
      <c r="N40" s="84">
        <v>7285</v>
      </c>
      <c r="O40" s="89">
        <v>3726631985</v>
      </c>
      <c r="P40" s="89">
        <v>124231412</v>
      </c>
      <c r="Q40" s="89">
        <v>16122225</v>
      </c>
      <c r="R40" s="84">
        <v>0.0047403</v>
      </c>
      <c r="S40" s="84"/>
      <c r="T40" s="84"/>
      <c r="U40" s="84">
        <v>0.0002992</v>
      </c>
      <c r="V40" s="84">
        <v>0.0205</v>
      </c>
      <c r="W40" s="84"/>
      <c r="X40" s="84"/>
      <c r="Y40" s="84">
        <v>0.0012</v>
      </c>
      <c r="Z40" s="84"/>
      <c r="AA40" s="84"/>
      <c r="AB40" s="84"/>
      <c r="AC40" s="84"/>
      <c r="AD40" s="84">
        <v>76395.96</v>
      </c>
      <c r="AE40" s="84"/>
      <c r="AF40" s="84"/>
      <c r="AG40" s="84">
        <v>4471.96</v>
      </c>
      <c r="AH40" s="84">
        <v>-0.14</v>
      </c>
      <c r="AI40" s="84"/>
      <c r="AJ40" s="84"/>
      <c r="AK40" s="84">
        <v>0</v>
      </c>
      <c r="AL40" s="84">
        <v>76395.82</v>
      </c>
      <c r="AM40" s="84"/>
      <c r="AN40" s="84"/>
      <c r="AO40" s="84">
        <v>4471.96</v>
      </c>
    </row>
    <row r="41" spans="1:41" s="90" customFormat="1" ht="12.75">
      <c r="A41" s="84">
        <v>40</v>
      </c>
      <c r="B41" s="91" t="s">
        <v>94</v>
      </c>
      <c r="C41" s="84" t="s">
        <v>137</v>
      </c>
      <c r="D41" s="84" t="s">
        <v>162</v>
      </c>
      <c r="E41" s="84" t="s">
        <v>118</v>
      </c>
      <c r="F41" s="88" t="s">
        <v>163</v>
      </c>
      <c r="G41" s="88" t="s">
        <v>143</v>
      </c>
      <c r="H41" s="84" t="s">
        <v>161</v>
      </c>
      <c r="I41" s="84">
        <v>36</v>
      </c>
      <c r="J41" s="84">
        <v>6820</v>
      </c>
      <c r="K41" s="84">
        <v>7291</v>
      </c>
      <c r="L41" s="84">
        <v>0</v>
      </c>
      <c r="M41" s="84">
        <v>0</v>
      </c>
      <c r="N41" s="84">
        <v>7287</v>
      </c>
      <c r="O41" s="89">
        <v>3352768888</v>
      </c>
      <c r="P41" s="89">
        <v>124231412</v>
      </c>
      <c r="Q41" s="89">
        <v>16122225</v>
      </c>
      <c r="R41" s="84">
        <v>0.0046412</v>
      </c>
      <c r="S41" s="84"/>
      <c r="T41" s="84"/>
      <c r="U41" s="84">
        <v>0.0007332</v>
      </c>
      <c r="V41" s="84">
        <v>0.0223</v>
      </c>
      <c r="W41" s="84"/>
      <c r="X41" s="84"/>
      <c r="Y41" s="84">
        <v>0.0035</v>
      </c>
      <c r="Z41" s="84"/>
      <c r="AA41" s="84"/>
      <c r="AB41" s="84"/>
      <c r="AC41" s="84"/>
      <c r="AD41" s="84">
        <v>74766.75</v>
      </c>
      <c r="AE41" s="84"/>
      <c r="AF41" s="84"/>
      <c r="AG41" s="84">
        <v>11734.69</v>
      </c>
      <c r="AH41" s="84">
        <v>-0.14</v>
      </c>
      <c r="AI41" s="84"/>
      <c r="AJ41" s="84"/>
      <c r="AK41" s="84">
        <v>0</v>
      </c>
      <c r="AL41" s="84">
        <v>74766.61</v>
      </c>
      <c r="AM41" s="84"/>
      <c r="AN41" s="84"/>
      <c r="AO41" s="84">
        <v>11734.69</v>
      </c>
    </row>
    <row r="42" spans="1:41" s="90" customFormat="1" ht="12.75">
      <c r="A42" s="84">
        <v>41</v>
      </c>
      <c r="B42" s="91" t="s">
        <v>94</v>
      </c>
      <c r="C42" s="84" t="s">
        <v>137</v>
      </c>
      <c r="D42" s="84" t="s">
        <v>162</v>
      </c>
      <c r="E42" s="84" t="s">
        <v>121</v>
      </c>
      <c r="F42" s="88" t="s">
        <v>163</v>
      </c>
      <c r="G42" s="88" t="s">
        <v>140</v>
      </c>
      <c r="H42" s="84" t="s">
        <v>161</v>
      </c>
      <c r="I42" s="84">
        <v>94</v>
      </c>
      <c r="J42" s="84">
        <v>6820</v>
      </c>
      <c r="K42" s="84">
        <v>7289</v>
      </c>
      <c r="L42" s="84">
        <v>0</v>
      </c>
      <c r="M42" s="84">
        <v>0</v>
      </c>
      <c r="N42" s="84">
        <v>0</v>
      </c>
      <c r="O42" s="89">
        <v>3726631985</v>
      </c>
      <c r="P42" s="89">
        <v>124231412</v>
      </c>
      <c r="Q42" s="89">
        <v>16122225</v>
      </c>
      <c r="R42" s="84">
        <v>0.0020074</v>
      </c>
      <c r="S42" s="84"/>
      <c r="T42" s="84"/>
      <c r="U42" s="84"/>
      <c r="V42" s="84">
        <v>0.0086</v>
      </c>
      <c r="W42" s="84"/>
      <c r="X42" s="84"/>
      <c r="Y42" s="84"/>
      <c r="Z42" s="84"/>
      <c r="AA42" s="84"/>
      <c r="AB42" s="84"/>
      <c r="AC42" s="84"/>
      <c r="AD42" s="84">
        <v>32049.04</v>
      </c>
      <c r="AE42" s="84"/>
      <c r="AF42" s="84"/>
      <c r="AG42" s="84"/>
      <c r="AH42" s="84">
        <v>0</v>
      </c>
      <c r="AI42" s="84"/>
      <c r="AJ42" s="84"/>
      <c r="AK42" s="84"/>
      <c r="AL42" s="84">
        <v>32049.04</v>
      </c>
      <c r="AM42" s="84"/>
      <c r="AN42" s="84"/>
      <c r="AO42" s="84"/>
    </row>
    <row r="43" spans="1:41" s="73" customFormat="1" ht="12.75">
      <c r="A43" s="68">
        <v>42</v>
      </c>
      <c r="B43" s="69" t="s">
        <v>94</v>
      </c>
      <c r="C43" s="68" t="s">
        <v>146</v>
      </c>
      <c r="D43" s="68" t="s">
        <v>147</v>
      </c>
      <c r="E43" s="68" t="s">
        <v>97</v>
      </c>
      <c r="F43" s="74" t="s">
        <v>159</v>
      </c>
      <c r="G43" s="74" t="s">
        <v>123</v>
      </c>
      <c r="H43" s="68" t="s">
        <v>148</v>
      </c>
      <c r="I43" s="68">
        <v>95</v>
      </c>
      <c r="J43" s="68">
        <v>6816</v>
      </c>
      <c r="K43" s="68">
        <v>7280</v>
      </c>
      <c r="L43" s="68">
        <v>0</v>
      </c>
      <c r="M43" s="68">
        <v>0</v>
      </c>
      <c r="N43" s="68">
        <v>7272</v>
      </c>
      <c r="O43" s="75">
        <v>782402136</v>
      </c>
      <c r="P43" s="75">
        <v>82903810</v>
      </c>
      <c r="Q43" s="75">
        <v>22422460</v>
      </c>
      <c r="R43" s="68">
        <v>0.0012793</v>
      </c>
      <c r="S43" s="68"/>
      <c r="T43" s="68"/>
      <c r="U43" s="68">
        <v>0.0001178</v>
      </c>
      <c r="V43" s="68">
        <v>0.0366</v>
      </c>
      <c r="W43" s="68"/>
      <c r="X43" s="68"/>
      <c r="Y43" s="68">
        <v>0.0033</v>
      </c>
      <c r="Z43" s="68"/>
      <c r="AA43" s="68"/>
      <c r="AB43" s="68"/>
      <c r="AC43" s="68"/>
      <c r="AD43" s="68">
        <v>28635.92</v>
      </c>
      <c r="AE43" s="68"/>
      <c r="AF43" s="68"/>
      <c r="AG43" s="68">
        <v>2581.93</v>
      </c>
      <c r="AH43" s="68">
        <v>0</v>
      </c>
      <c r="AI43" s="68"/>
      <c r="AJ43" s="68"/>
      <c r="AK43" s="68">
        <v>0</v>
      </c>
      <c r="AL43" s="68">
        <v>28635.92</v>
      </c>
      <c r="AM43" s="68"/>
      <c r="AN43" s="68"/>
      <c r="AO43" s="68">
        <v>2581.93</v>
      </c>
    </row>
    <row r="44" spans="1:41" ht="12.75">
      <c r="A44" s="68">
        <v>43</v>
      </c>
      <c r="B44" s="69" t="s">
        <v>94</v>
      </c>
      <c r="C44" s="68" t="s">
        <v>146</v>
      </c>
      <c r="D44" s="68" t="s">
        <v>147</v>
      </c>
      <c r="E44" s="68" t="s">
        <v>99</v>
      </c>
      <c r="F44" s="74" t="s">
        <v>159</v>
      </c>
      <c r="G44" s="74" t="s">
        <v>124</v>
      </c>
      <c r="H44" s="68" t="s">
        <v>148</v>
      </c>
      <c r="I44" s="68">
        <v>40</v>
      </c>
      <c r="J44" s="68">
        <v>6816</v>
      </c>
      <c r="K44" s="68">
        <v>7278</v>
      </c>
      <c r="L44" s="68">
        <v>0</v>
      </c>
      <c r="M44" s="68">
        <v>0</v>
      </c>
      <c r="N44" s="68">
        <v>0</v>
      </c>
      <c r="O44" s="75">
        <v>782402136</v>
      </c>
      <c r="P44" s="75">
        <v>82903810</v>
      </c>
      <c r="Q44" s="75">
        <v>22422460</v>
      </c>
      <c r="R44" s="68">
        <v>0.0006191</v>
      </c>
      <c r="S44" s="68"/>
      <c r="T44" s="68"/>
      <c r="U44" s="68"/>
      <c r="V44" s="68">
        <v>0.0177</v>
      </c>
      <c r="W44" s="68"/>
      <c r="X44" s="68"/>
      <c r="Y44" s="68"/>
      <c r="Z44" s="68"/>
      <c r="AA44" s="68"/>
      <c r="AB44" s="68"/>
      <c r="AC44" s="68"/>
      <c r="AD44" s="68">
        <v>13848.52</v>
      </c>
      <c r="AE44" s="68"/>
      <c r="AF44" s="68"/>
      <c r="AG44" s="68"/>
      <c r="AH44" s="68">
        <v>0</v>
      </c>
      <c r="AI44" s="68"/>
      <c r="AJ44" s="68"/>
      <c r="AK44" s="68"/>
      <c r="AL44" s="68">
        <v>13848.52</v>
      </c>
      <c r="AM44" s="68"/>
      <c r="AN44" s="68"/>
      <c r="AO44" s="68"/>
    </row>
    <row r="45" spans="1:41" ht="12.75">
      <c r="A45" s="68">
        <v>44</v>
      </c>
      <c r="B45" s="69" t="s">
        <v>94</v>
      </c>
      <c r="C45" s="68" t="s">
        <v>146</v>
      </c>
      <c r="D45" s="68" t="s">
        <v>147</v>
      </c>
      <c r="E45" s="68" t="s">
        <v>100</v>
      </c>
      <c r="F45" s="74" t="s">
        <v>159</v>
      </c>
      <c r="G45" s="74" t="s">
        <v>125</v>
      </c>
      <c r="H45" s="68" t="s">
        <v>148</v>
      </c>
      <c r="I45" s="68">
        <v>38</v>
      </c>
      <c r="J45" s="68">
        <v>6816</v>
      </c>
      <c r="K45" s="68">
        <v>7274</v>
      </c>
      <c r="L45" s="68">
        <v>0</v>
      </c>
      <c r="M45" s="68">
        <v>0</v>
      </c>
      <c r="N45" s="68">
        <v>0</v>
      </c>
      <c r="O45" s="75">
        <v>782402136</v>
      </c>
      <c r="P45" s="75">
        <v>82903810</v>
      </c>
      <c r="Q45" s="75">
        <v>22422460</v>
      </c>
      <c r="R45" s="68">
        <v>0.0002232</v>
      </c>
      <c r="S45" s="68"/>
      <c r="T45" s="68"/>
      <c r="U45" s="68"/>
      <c r="V45" s="68">
        <v>0.0063</v>
      </c>
      <c r="W45" s="68"/>
      <c r="X45" s="68"/>
      <c r="Y45" s="68"/>
      <c r="Z45" s="68"/>
      <c r="AA45" s="68"/>
      <c r="AB45" s="68"/>
      <c r="AC45" s="68"/>
      <c r="AD45" s="68">
        <v>4929.13</v>
      </c>
      <c r="AE45" s="68"/>
      <c r="AF45" s="68"/>
      <c r="AG45" s="68"/>
      <c r="AH45" s="68">
        <v>0</v>
      </c>
      <c r="AI45" s="68"/>
      <c r="AJ45" s="68"/>
      <c r="AK45" s="68"/>
      <c r="AL45" s="68">
        <v>4929.13</v>
      </c>
      <c r="AM45" s="68"/>
      <c r="AN45" s="68"/>
      <c r="AO45" s="68"/>
    </row>
    <row r="46" spans="1:41" ht="12.75">
      <c r="A46" s="68">
        <v>45</v>
      </c>
      <c r="B46" s="69" t="s">
        <v>94</v>
      </c>
      <c r="C46" s="68" t="s">
        <v>146</v>
      </c>
      <c r="D46" s="68" t="s">
        <v>147</v>
      </c>
      <c r="E46" s="68" t="s">
        <v>149</v>
      </c>
      <c r="F46" s="74" t="s">
        <v>159</v>
      </c>
      <c r="G46" s="74" t="s">
        <v>158</v>
      </c>
      <c r="H46" s="68" t="s">
        <v>148</v>
      </c>
      <c r="I46" s="68">
        <v>46</v>
      </c>
      <c r="J46" s="68">
        <v>6816</v>
      </c>
      <c r="K46" s="68">
        <v>7281</v>
      </c>
      <c r="L46" s="68">
        <v>0</v>
      </c>
      <c r="M46" s="68">
        <v>0</v>
      </c>
      <c r="N46" s="68">
        <v>7276</v>
      </c>
      <c r="O46" s="75">
        <v>782402136</v>
      </c>
      <c r="P46" s="75">
        <v>82903810</v>
      </c>
      <c r="Q46" s="75">
        <v>22422460</v>
      </c>
      <c r="R46" s="68">
        <v>0.002861</v>
      </c>
      <c r="S46" s="68"/>
      <c r="T46" s="68"/>
      <c r="U46" s="68">
        <v>0.0004155</v>
      </c>
      <c r="V46" s="68">
        <v>0.0819</v>
      </c>
      <c r="W46" s="68"/>
      <c r="X46" s="68"/>
      <c r="Y46" s="68">
        <v>0.0119</v>
      </c>
      <c r="Z46" s="68"/>
      <c r="AA46" s="68"/>
      <c r="AB46" s="68"/>
      <c r="AC46" s="68"/>
      <c r="AD46" s="68">
        <v>64078.73</v>
      </c>
      <c r="AE46" s="68"/>
      <c r="AF46" s="68"/>
      <c r="AG46" s="68">
        <v>9310.59</v>
      </c>
      <c r="AH46" s="68">
        <v>0</v>
      </c>
      <c r="AI46" s="68"/>
      <c r="AJ46" s="68"/>
      <c r="AK46" s="68">
        <v>0</v>
      </c>
      <c r="AL46" s="68">
        <v>64078.73</v>
      </c>
      <c r="AM46" s="68"/>
      <c r="AN46" s="68"/>
      <c r="AO46" s="68">
        <v>9310.59</v>
      </c>
    </row>
    <row r="47" spans="1:41" ht="12.75">
      <c r="A47" s="68">
        <v>46</v>
      </c>
      <c r="B47" s="69" t="s">
        <v>94</v>
      </c>
      <c r="C47" s="68" t="s">
        <v>146</v>
      </c>
      <c r="D47" s="68" t="s">
        <v>147</v>
      </c>
      <c r="E47" s="68" t="s">
        <v>150</v>
      </c>
      <c r="F47" s="74" t="s">
        <v>159</v>
      </c>
      <c r="G47" s="74" t="s">
        <v>157</v>
      </c>
      <c r="H47" s="68" t="s">
        <v>148</v>
      </c>
      <c r="I47" s="68">
        <v>35</v>
      </c>
      <c r="J47" s="68">
        <v>6816</v>
      </c>
      <c r="K47" s="68">
        <v>7282</v>
      </c>
      <c r="L47" s="68">
        <v>0</v>
      </c>
      <c r="M47" s="68">
        <v>0</v>
      </c>
      <c r="N47" s="68">
        <v>7279</v>
      </c>
      <c r="O47" s="75">
        <v>782402136</v>
      </c>
      <c r="P47" s="75">
        <v>82903810</v>
      </c>
      <c r="Q47" s="75">
        <v>22422460</v>
      </c>
      <c r="R47" s="68">
        <v>0.0038928</v>
      </c>
      <c r="S47" s="68"/>
      <c r="T47" s="68"/>
      <c r="U47" s="68">
        <v>0.0011288</v>
      </c>
      <c r="V47" s="68">
        <v>0.1115</v>
      </c>
      <c r="W47" s="68"/>
      <c r="X47" s="68"/>
      <c r="Y47" s="68">
        <v>0.0323</v>
      </c>
      <c r="Z47" s="68"/>
      <c r="AA47" s="68"/>
      <c r="AB47" s="68"/>
      <c r="AC47" s="68"/>
      <c r="AD47" s="68">
        <v>87237.84</v>
      </c>
      <c r="AE47" s="68"/>
      <c r="AF47" s="68"/>
      <c r="AG47" s="68">
        <v>25271.59</v>
      </c>
      <c r="AH47" s="68">
        <v>0</v>
      </c>
      <c r="AI47" s="68"/>
      <c r="AJ47" s="68"/>
      <c r="AK47" s="68">
        <v>0</v>
      </c>
      <c r="AL47" s="68">
        <v>87237.84</v>
      </c>
      <c r="AM47" s="68"/>
      <c r="AN47" s="68"/>
      <c r="AO47" s="68">
        <v>25271.59</v>
      </c>
    </row>
    <row r="48" spans="1:41" ht="12.75">
      <c r="A48" s="68">
        <v>47</v>
      </c>
      <c r="B48" s="69" t="s">
        <v>94</v>
      </c>
      <c r="C48" s="68" t="s">
        <v>146</v>
      </c>
      <c r="D48" s="68" t="s">
        <v>147</v>
      </c>
      <c r="E48" s="68" t="s">
        <v>151</v>
      </c>
      <c r="F48" s="74" t="s">
        <v>159</v>
      </c>
      <c r="G48" s="74" t="s">
        <v>156</v>
      </c>
      <c r="H48" s="68" t="s">
        <v>148</v>
      </c>
      <c r="I48" s="68">
        <v>89</v>
      </c>
      <c r="J48" s="68">
        <v>6816</v>
      </c>
      <c r="K48" s="68">
        <v>7277</v>
      </c>
      <c r="L48" s="68">
        <v>0</v>
      </c>
      <c r="M48" s="68">
        <v>0</v>
      </c>
      <c r="N48" s="68">
        <v>0</v>
      </c>
      <c r="O48" s="75">
        <v>782402136</v>
      </c>
      <c r="P48" s="75">
        <v>82903810</v>
      </c>
      <c r="Q48" s="75">
        <v>22422460</v>
      </c>
      <c r="R48" s="68">
        <v>0.0005163</v>
      </c>
      <c r="S48" s="68"/>
      <c r="T48" s="68"/>
      <c r="U48" s="68"/>
      <c r="V48" s="68">
        <v>0.0147</v>
      </c>
      <c r="W48" s="68"/>
      <c r="X48" s="68"/>
      <c r="Y48" s="68"/>
      <c r="Z48" s="68"/>
      <c r="AA48" s="68"/>
      <c r="AB48" s="68"/>
      <c r="AC48" s="68"/>
      <c r="AD48" s="68">
        <v>11501.31</v>
      </c>
      <c r="AE48" s="68"/>
      <c r="AF48" s="68"/>
      <c r="AG48" s="68"/>
      <c r="AH48" s="68">
        <v>0</v>
      </c>
      <c r="AI48" s="68"/>
      <c r="AJ48" s="68"/>
      <c r="AK48" s="68"/>
      <c r="AL48" s="68">
        <v>11501.31</v>
      </c>
      <c r="AM48" s="68"/>
      <c r="AN48" s="68"/>
      <c r="AO48" s="68"/>
    </row>
    <row r="49" spans="1:41" ht="12.75">
      <c r="A49" s="68">
        <v>48</v>
      </c>
      <c r="B49" s="69" t="s">
        <v>94</v>
      </c>
      <c r="C49" s="68" t="s">
        <v>146</v>
      </c>
      <c r="D49" s="68" t="s">
        <v>147</v>
      </c>
      <c r="E49" s="68" t="s">
        <v>152</v>
      </c>
      <c r="F49" s="74" t="s">
        <v>159</v>
      </c>
      <c r="G49" s="74" t="s">
        <v>155</v>
      </c>
      <c r="H49" s="68" t="s">
        <v>148</v>
      </c>
      <c r="I49" s="68">
        <v>90</v>
      </c>
      <c r="J49" s="68">
        <v>6816</v>
      </c>
      <c r="K49" s="68">
        <v>7273</v>
      </c>
      <c r="L49" s="68">
        <v>0</v>
      </c>
      <c r="M49" s="68">
        <v>0</v>
      </c>
      <c r="N49" s="68">
        <v>0</v>
      </c>
      <c r="O49" s="75">
        <v>782402136</v>
      </c>
      <c r="P49" s="75">
        <v>82903810</v>
      </c>
      <c r="Q49" s="75">
        <v>22422460</v>
      </c>
      <c r="R49" s="68">
        <v>0.0001474</v>
      </c>
      <c r="S49" s="68"/>
      <c r="T49" s="68"/>
      <c r="U49" s="68"/>
      <c r="V49" s="68">
        <v>0.0042</v>
      </c>
      <c r="W49" s="68"/>
      <c r="X49" s="68"/>
      <c r="Y49" s="68"/>
      <c r="Z49" s="68"/>
      <c r="AA49" s="68"/>
      <c r="AB49" s="68"/>
      <c r="AC49" s="68"/>
      <c r="AD49" s="68">
        <v>3286.09</v>
      </c>
      <c r="AE49" s="68"/>
      <c r="AF49" s="68"/>
      <c r="AG49" s="68"/>
      <c r="AH49" s="68">
        <v>0</v>
      </c>
      <c r="AI49" s="68"/>
      <c r="AJ49" s="68"/>
      <c r="AK49" s="68"/>
      <c r="AL49" s="68">
        <v>3286.09</v>
      </c>
      <c r="AM49" s="68"/>
      <c r="AN49" s="68"/>
      <c r="AO49" s="68"/>
    </row>
    <row r="50" spans="1:41" ht="12.75">
      <c r="A50" s="68">
        <v>49</v>
      </c>
      <c r="B50" s="68" t="s">
        <v>94</v>
      </c>
      <c r="C50" s="68" t="s">
        <v>146</v>
      </c>
      <c r="D50" s="68" t="s">
        <v>147</v>
      </c>
      <c r="E50" s="68" t="s">
        <v>153</v>
      </c>
      <c r="F50" s="74" t="s">
        <v>159</v>
      </c>
      <c r="G50" s="74" t="s">
        <v>154</v>
      </c>
      <c r="H50" s="68" t="s">
        <v>148</v>
      </c>
      <c r="I50" s="68">
        <v>91</v>
      </c>
      <c r="J50" s="68">
        <v>6816</v>
      </c>
      <c r="K50" s="68">
        <v>7275</v>
      </c>
      <c r="L50" s="68">
        <v>0</v>
      </c>
      <c r="M50" s="68">
        <v>0</v>
      </c>
      <c r="N50" s="68">
        <v>0</v>
      </c>
      <c r="O50" s="75">
        <v>782402136</v>
      </c>
      <c r="P50" s="75">
        <v>82903810</v>
      </c>
      <c r="Q50" s="75">
        <v>22422460</v>
      </c>
      <c r="R50" s="68">
        <v>0.0003198</v>
      </c>
      <c r="S50" s="68"/>
      <c r="T50" s="68"/>
      <c r="U50" s="68"/>
      <c r="V50" s="68">
        <v>0.0091</v>
      </c>
      <c r="W50" s="68"/>
      <c r="X50" s="68"/>
      <c r="Y50" s="68"/>
      <c r="Z50" s="68"/>
      <c r="AA50" s="68"/>
      <c r="AB50" s="68"/>
      <c r="AC50" s="68"/>
      <c r="AD50" s="68">
        <v>7119.86</v>
      </c>
      <c r="AE50" s="68"/>
      <c r="AF50" s="68"/>
      <c r="AG50" s="68"/>
      <c r="AH50" s="68">
        <v>0</v>
      </c>
      <c r="AI50" s="68"/>
      <c r="AJ50" s="68"/>
      <c r="AK50" s="68"/>
      <c r="AL50" s="68">
        <v>7119.86</v>
      </c>
      <c r="AM50" s="68"/>
      <c r="AN50" s="68"/>
      <c r="AO50" s="68"/>
    </row>
  </sheetData>
  <printOptions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C32" activeCellId="1" sqref="A1 C32:F32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6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Coburg Urban Renewal District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Coburg Industrial Area</v>
      </c>
      <c r="D9" s="16"/>
      <c r="E9" s="17"/>
      <c r="F9" s="18" t="str">
        <f>VLOOKUP(F2,'Raw Data'!A:AO,6,FALSE)</f>
        <v>200008715</v>
      </c>
    </row>
    <row r="10" spans="1:6" ht="15">
      <c r="A10" s="13">
        <v>2</v>
      </c>
      <c r="B10" s="14" t="s">
        <v>5</v>
      </c>
      <c r="C10" s="8" t="str">
        <f>VLOOKUP(F2,'Raw Data'!A:AO,5,FALSE)</f>
        <v>Eugene School District 4J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200243000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159769263</v>
      </c>
      <c r="D15" s="30"/>
      <c r="E15" s="30"/>
      <c r="F15" s="31">
        <f>SUM(C15:E15)</f>
        <v>159769263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39267623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15462696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23804927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0.0047485</v>
      </c>
      <c r="D25" s="47">
        <f>IF(VLOOKUP(F2,'Raw Data'!A:AO,19,FALSE)="",0,VLOOKUP(F2,'Raw Data'!A:AO,19,FALSE))</f>
        <v>0.0015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0.0005808</v>
      </c>
    </row>
    <row r="26" spans="1:6" ht="15">
      <c r="A26" s="5">
        <f>1+A25</f>
        <v>11</v>
      </c>
      <c r="B26" s="21" t="s">
        <v>28</v>
      </c>
      <c r="C26" s="48">
        <f>ROUND(C25*$C$21,2)</f>
        <v>113037.7</v>
      </c>
      <c r="D26" s="48">
        <f>ROUND(D25*$C$21,2)</f>
        <v>35707.39</v>
      </c>
      <c r="E26" s="48">
        <f>ROUND(E25*$C$21,2)</f>
        <v>0</v>
      </c>
      <c r="F26" s="48">
        <f>ROUND(F25*$C$21,2)</f>
        <v>13825.9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0.0007075</v>
      </c>
      <c r="D27" s="47">
        <f>ROUNDDOWN(D26/$F$15,7)</f>
        <v>0.0002234</v>
      </c>
      <c r="E27" s="47">
        <f>ROUNDDOWN(E26/$F$15,7)</f>
        <v>0</v>
      </c>
      <c r="F27" s="47">
        <f>ROUNDDOWN(F26/$F$15,7)</f>
        <v>8.65E-05</v>
      </c>
    </row>
    <row r="28" spans="1:6" ht="15">
      <c r="A28" s="5">
        <f t="shared" si="0"/>
        <v>13</v>
      </c>
      <c r="B28" s="21" t="s">
        <v>30</v>
      </c>
      <c r="C28" s="48">
        <f>ROUND(C27*$C$15,2)</f>
        <v>113036.75</v>
      </c>
      <c r="D28" s="48">
        <f>ROUND(D27*$C$15,2)</f>
        <v>35692.45</v>
      </c>
      <c r="E28" s="48">
        <f>ROUND(E27*$C$15,2)</f>
        <v>0</v>
      </c>
      <c r="F28" s="48">
        <f>ROUND(F27*$C$15,2)</f>
        <v>13820.04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113036.75</v>
      </c>
      <c r="D31" s="50">
        <f>ROUND(SUM(D28:D30),2)</f>
        <v>35692.45</v>
      </c>
      <c r="E31" s="50">
        <f>ROUND(SUM(E28:E30),2)</f>
        <v>0</v>
      </c>
      <c r="F31" s="50">
        <f>ROUND(SUM(F28:F30),2)</f>
        <v>13820.04</v>
      </c>
    </row>
    <row r="32" spans="1:6" ht="15">
      <c r="A32" s="5">
        <f t="shared" si="0"/>
        <v>17</v>
      </c>
      <c r="B32" s="21" t="s">
        <v>34</v>
      </c>
      <c r="C32" s="48">
        <f>C31-C26</f>
        <v>-0.9499999999970896</v>
      </c>
      <c r="D32" s="48">
        <f>D31-D26</f>
        <v>-14.940000000002328</v>
      </c>
      <c r="E32" s="48">
        <f>E31-E26</f>
        <v>0</v>
      </c>
      <c r="F32" s="48">
        <f>F31-F26</f>
        <v>-5.859999999998763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113036.75</v>
      </c>
      <c r="D33" s="51">
        <f>IF(VLOOKUP(F2,'Raw Data'!A:AO,31,FALSE)="",0,VLOOKUP(F2,'Raw Data'!A:AO,31,FALSE))</f>
        <v>35692.45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13820.04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113036.75</v>
      </c>
      <c r="D36" s="54">
        <f>SUM(D33:D35)</f>
        <v>35692.45</v>
      </c>
      <c r="E36" s="54">
        <f>SUM(E33:E35)</f>
        <v>0</v>
      </c>
      <c r="F36" s="54">
        <f>SUM(F33:F35)</f>
        <v>13820.04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-0.07</v>
      </c>
      <c r="D41" s="51">
        <f>IF(VLOOKUP(F2,'Raw Data'!A:AO,35,FALSE)="",0,VLOOKUP(F2,'Raw Data'!A:AO,35,FALSE))</f>
        <v>-0.44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-0.01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-0.07</v>
      </c>
      <c r="D44" s="54">
        <f>SUM(D41:D43)</f>
        <v>-0.44</v>
      </c>
      <c r="E44" s="54">
        <f>SUM(E41:E43)</f>
        <v>0</v>
      </c>
      <c r="F44" s="54">
        <f>SUM(F41:F43)</f>
        <v>-0.01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113036.68</v>
      </c>
      <c r="D45" s="51">
        <f>IF(VLOOKUP(F2,'Raw Data'!A:AO,39,FALSE)="",0,VLOOKUP(F2,'Raw Data'!A:AO,39,FALSE))</f>
        <v>35692.01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13820.03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113036.68</v>
      </c>
      <c r="D48" s="50">
        <f>SUM(D45:D47)</f>
        <v>35692.01</v>
      </c>
      <c r="E48" s="50">
        <f>SUM(E45:E47)</f>
        <v>0</v>
      </c>
      <c r="F48" s="50">
        <f>SUM(F45:F47)</f>
        <v>13820.03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7271</v>
      </c>
      <c r="D49" s="76">
        <f>IF(VLOOKUP(F2,'Raw Data'!A:AO,12,FALSE)="",0,VLOOKUP(F2,'Raw Data'!A:AO,12,FALSE))</f>
        <v>7269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7264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C32" activeCellId="1" sqref="A1 C32:F32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7</v>
      </c>
    </row>
    <row r="3" spans="1:6" ht="15">
      <c r="A3" s="5"/>
      <c r="B3" s="6"/>
      <c r="C3" s="3"/>
      <c r="D3" s="3"/>
      <c r="E3" s="3"/>
      <c r="F3" s="77"/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Coburg Urban Renewal District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Coburg Industrial Area</v>
      </c>
      <c r="D9" s="16"/>
      <c r="E9" s="17"/>
      <c r="F9" s="18" t="str">
        <f>VLOOKUP(F2,'Raw Data'!A:AO,6,FALSE)</f>
        <v>200008715</v>
      </c>
    </row>
    <row r="10" spans="1:6" ht="15">
      <c r="A10" s="13">
        <v>2</v>
      </c>
      <c r="B10" s="14" t="s">
        <v>5</v>
      </c>
      <c r="C10" s="8" t="str">
        <f>VLOOKUP(F2,'Raw Data'!A:AO,5,FALSE)</f>
        <v>Eugene School District 4J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200243000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159769263</v>
      </c>
      <c r="D15" s="30"/>
      <c r="E15" s="30"/>
      <c r="F15" s="31">
        <f>SUM(C15:E15)</f>
        <v>159769263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39267623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15462696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23804927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0.0008121</v>
      </c>
    </row>
    <row r="26" spans="1:6" ht="15">
      <c r="A26" s="5">
        <f>1+A25</f>
        <v>11</v>
      </c>
      <c r="B26" s="21" t="s">
        <v>28</v>
      </c>
      <c r="C26" s="48">
        <f>ROUND(C25*$C$21,2)</f>
        <v>0</v>
      </c>
      <c r="D26" s="48">
        <f>ROUND(D25*$C$21,2)</f>
        <v>0</v>
      </c>
      <c r="E26" s="48">
        <f>ROUND(E25*$C$21,2)</f>
        <v>0</v>
      </c>
      <c r="F26" s="48">
        <f>ROUND(F25*$C$21,2)</f>
        <v>19331.98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</v>
      </c>
      <c r="D27" s="47">
        <f>ROUNDDOWN(D26/$F$15,7)</f>
        <v>0</v>
      </c>
      <c r="E27" s="47">
        <f>ROUNDDOWN(E26/$F$15,7)</f>
        <v>0</v>
      </c>
      <c r="F27" s="47">
        <f>ROUNDDOWN(F26/$F$15,7)</f>
        <v>0.0001209</v>
      </c>
    </row>
    <row r="28" spans="1:6" ht="15">
      <c r="A28" s="5">
        <f t="shared" si="0"/>
        <v>13</v>
      </c>
      <c r="B28" s="21" t="s">
        <v>30</v>
      </c>
      <c r="C28" s="48">
        <f>ROUND(C27*$C$15,2)</f>
        <v>0</v>
      </c>
      <c r="D28" s="48">
        <f>ROUND(D27*$C$15,2)</f>
        <v>0</v>
      </c>
      <c r="E28" s="48">
        <f>ROUND(E27*$C$15,2)</f>
        <v>0</v>
      </c>
      <c r="F28" s="48">
        <f>ROUND(F27*$C$15,2)</f>
        <v>19316.1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0</v>
      </c>
      <c r="D31" s="50">
        <f>ROUND(SUM(D28:D30),2)</f>
        <v>0</v>
      </c>
      <c r="E31" s="50">
        <f>ROUND(SUM(E28:E30),2)</f>
        <v>0</v>
      </c>
      <c r="F31" s="50">
        <f>ROUND(SUM(F28:F30),2)</f>
        <v>19316.1</v>
      </c>
    </row>
    <row r="32" spans="1:6" ht="15">
      <c r="A32" s="5">
        <f t="shared" si="0"/>
        <v>17</v>
      </c>
      <c r="B32" s="21" t="s">
        <v>34</v>
      </c>
      <c r="C32" s="48">
        <f>C31-C26</f>
        <v>0</v>
      </c>
      <c r="D32" s="48">
        <f>D31-D26</f>
        <v>0</v>
      </c>
      <c r="E32" s="48">
        <f>E31-E26</f>
        <v>0</v>
      </c>
      <c r="F32" s="48">
        <f>F31-F26</f>
        <v>-15.880000000001019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0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19316.1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0</v>
      </c>
      <c r="D36" s="54">
        <f>SUM(D33:D35)</f>
        <v>0</v>
      </c>
      <c r="E36" s="54">
        <f>SUM(E33:E35)</f>
        <v>0</v>
      </c>
      <c r="F36" s="54">
        <f>SUM(F33:F35)</f>
        <v>19316.1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-0.01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-0.01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0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19316.09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19316.09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7266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E39" sqref="E39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8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Riverfront</v>
      </c>
      <c r="D9" s="16"/>
      <c r="E9" s="17"/>
      <c r="F9" s="18" t="str">
        <f>VLOOKUP(F2,'Raw Data'!A:AO,6,FALSE)</f>
        <v>200008720</v>
      </c>
    </row>
    <row r="10" spans="1:6" ht="15">
      <c r="A10" s="13">
        <v>2</v>
      </c>
      <c r="B10" s="14" t="s">
        <v>5</v>
      </c>
      <c r="C10" s="8" t="str">
        <f>VLOOKUP(F2,'Raw Data'!A:AO,5,FALSE)</f>
        <v>City of Eugene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201450000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11633024852</v>
      </c>
      <c r="D15" s="30"/>
      <c r="E15" s="30"/>
      <c r="F15" s="31">
        <f>SUM(C15:E15)</f>
        <v>11633024852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93553491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50609448</v>
      </c>
      <c r="D20" s="80"/>
      <c r="E20" s="78"/>
      <c r="F20" s="78"/>
    </row>
    <row r="21" spans="1:6" ht="15">
      <c r="A21" s="5">
        <v>9</v>
      </c>
      <c r="B21" s="21" t="s">
        <v>18</v>
      </c>
      <c r="C21" s="39">
        <f>VLOOKUP(F2,'Raw Data'!A:AO,17,FALSE)</f>
        <v>42944043</v>
      </c>
      <c r="E21" s="78"/>
      <c r="F21" s="78"/>
    </row>
    <row r="22" spans="1:6" ht="15">
      <c r="A22" s="5"/>
      <c r="B22" s="21"/>
      <c r="C22" s="11"/>
      <c r="D22" s="11"/>
      <c r="E22" s="81"/>
      <c r="F22" s="8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0.0070058</v>
      </c>
      <c r="D25" s="46">
        <f>IF(VLOOKUP(F2,'Raw Data'!A:AO,19,FALSE)="",0,VLOOKUP(F2,'Raw Data'!A:AO,19,FALSE))</f>
        <v>0.0002318</v>
      </c>
      <c r="E25" s="46">
        <f>IF(VLOOKUP(F2,'Raw Data'!A:AO,20,FALSE)="",0,VLOOKUP(F2,'Raw Data'!A:AO,20,FALSE))</f>
        <v>0</v>
      </c>
      <c r="F25" s="46">
        <f>IF(VLOOKUP(F2,'Raw Data'!A:AO,21,FALSE)="",0,VLOOKUP(F2,'Raw Data'!A:AO,21,FALSE))</f>
        <v>0.0003287</v>
      </c>
    </row>
    <row r="26" spans="1:6" ht="15">
      <c r="A26" s="5">
        <f>1+A25</f>
        <v>11</v>
      </c>
      <c r="B26" s="21" t="s">
        <v>28</v>
      </c>
      <c r="C26" s="48">
        <f>ROUND(C25*$C$21,2)</f>
        <v>300857.38</v>
      </c>
      <c r="D26" s="48">
        <f>ROUND(D25*$C$21,2)</f>
        <v>9954.43</v>
      </c>
      <c r="E26" s="48">
        <f>ROUND(E25*$C$21,2)</f>
        <v>0</v>
      </c>
      <c r="F26" s="48">
        <f>ROUND(F25*$C$21,2)</f>
        <v>14115.71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2.58E-05</v>
      </c>
      <c r="D27" s="46">
        <f>ROUNDDOWN(D26/$F$15,7)</f>
        <v>8E-07</v>
      </c>
      <c r="E27" s="47">
        <f>ROUNDDOWN(E26/$F$15,7)</f>
        <v>0</v>
      </c>
      <c r="F27" s="47">
        <f>ROUNDDOWN(F26/$F$15,7)</f>
        <v>1.2E-06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300132.04</v>
      </c>
      <c r="D28" s="48">
        <f>ROUND(D27*$C$15,2)</f>
        <v>9306.42</v>
      </c>
      <c r="E28" s="48">
        <f>ROUND(E27*$C$15,2)</f>
        <v>0</v>
      </c>
      <c r="F28" s="48">
        <f>ROUND(F27*$C$15,2)</f>
        <v>13959.63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300132.04</v>
      </c>
      <c r="D31" s="50">
        <f>ROUND(SUM(D28:D30),2)</f>
        <v>9306.42</v>
      </c>
      <c r="E31" s="50">
        <f>ROUND(SUM(E28:E30),2)</f>
        <v>0</v>
      </c>
      <c r="F31" s="50">
        <f>ROUND(SUM(F28:F30),2)</f>
        <v>13959.63</v>
      </c>
    </row>
    <row r="32" spans="1:6" ht="15">
      <c r="A32" s="5">
        <f t="shared" si="0"/>
        <v>17</v>
      </c>
      <c r="B32" s="21" t="s">
        <v>34</v>
      </c>
      <c r="C32" s="48">
        <f>C31-C26</f>
        <v>-725.3400000000256</v>
      </c>
      <c r="D32" s="48">
        <f>D31-D26</f>
        <v>-648.0100000000002</v>
      </c>
      <c r="E32" s="48">
        <f>E31-E26</f>
        <v>0</v>
      </c>
      <c r="F32" s="48">
        <f>F31-F26</f>
        <v>-156.07999999999993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300132.04</v>
      </c>
      <c r="D33" s="51">
        <f>IF(VLOOKUP(F2,'Raw Data'!A:AO,31,FALSE)="",0,VLOOKUP(F2,'Raw Data'!A:AO,31,FALSE))</f>
        <v>9306.42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13959.63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300132.04</v>
      </c>
      <c r="D36" s="54">
        <f>SUM(D33:D35)</f>
        <v>9306.42</v>
      </c>
      <c r="E36" s="54">
        <f>SUM(E33:E35)</f>
        <v>0</v>
      </c>
      <c r="F36" s="54">
        <f>SUM(F33:F35)</f>
        <v>13959.63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-0.41</v>
      </c>
      <c r="D41" s="51">
        <f>IF(VLOOKUP(F2,'Raw Data'!A:AO,35,FALSE)="",0,VLOOKUP(F2,'Raw Data'!A:AO,35,FALSE))</f>
        <v>-0.07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0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-0.41</v>
      </c>
      <c r="D44" s="54">
        <f>SUM(D41:D43)</f>
        <v>-0.07</v>
      </c>
      <c r="E44" s="54">
        <f>SUM(E41:E43)</f>
        <v>0</v>
      </c>
      <c r="F44" s="54">
        <f>SUM(F41:F43)</f>
        <v>0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300131.63</v>
      </c>
      <c r="D45" s="51">
        <f>IF(VLOOKUP(F2,'Raw Data'!A:AO,39,FALSE)="",0,VLOOKUP(F2,'Raw Data'!A:AO,39,FALSE))</f>
        <v>9306.35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13959.63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300131.63</v>
      </c>
      <c r="D48" s="54">
        <f>SUM(D45:D47)</f>
        <v>9306.35</v>
      </c>
      <c r="E48" s="50">
        <f>SUM(E45:E47)</f>
        <v>0</v>
      </c>
      <c r="F48" s="50">
        <f>SUM(F45:F47)</f>
        <v>13959.63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7236</v>
      </c>
      <c r="D49" s="76">
        <f>IF(VLOOKUP(F2,'Raw Data'!A:AO,12,FALSE)="",0,VLOOKUP(F2,'Raw Data'!A:AO,12,FALSE))</f>
        <v>7226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7228</v>
      </c>
    </row>
    <row r="50" spans="1:4" ht="14.25">
      <c r="A50" s="4" t="s">
        <v>51</v>
      </c>
      <c r="B50" s="4"/>
      <c r="D50" s="79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F4" sqref="F4"/>
    </sheetView>
  </sheetViews>
  <sheetFormatPr defaultColWidth="9.140625" defaultRowHeight="12.75"/>
  <cols>
    <col min="1" max="1" width="4.421875" style="4" customWidth="1"/>
    <col min="2" max="2" width="46.421875" style="55" customWidth="1"/>
    <col min="3" max="5" width="21.57421875" style="4" customWidth="1"/>
    <col min="6" max="6" width="22.57421875" style="4" customWidth="1"/>
    <col min="7" max="7" width="9.140625" style="4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5"/>
      <c r="B2" s="2" t="str">
        <f>'COB Lane County'!B2</f>
        <v>Tax Year 2009-10</v>
      </c>
      <c r="C2" s="3"/>
      <c r="D2" s="3"/>
      <c r="E2" s="3"/>
      <c r="F2" s="3">
        <v>9</v>
      </c>
    </row>
    <row r="3" spans="1:6" ht="15">
      <c r="A3" s="5"/>
      <c r="B3" s="6"/>
      <c r="C3" s="3"/>
      <c r="D3" s="3"/>
      <c r="E3" s="3"/>
      <c r="F3" s="77" t="s">
        <v>169</v>
      </c>
    </row>
    <row r="4" spans="1:6" ht="15">
      <c r="A4" s="5"/>
      <c r="B4" s="7" t="s">
        <v>1</v>
      </c>
      <c r="C4" s="8" t="str">
        <f>VLOOKUP(F2,'Raw Data'!A:AO,2,FALSE)</f>
        <v>Lane</v>
      </c>
      <c r="D4" s="9"/>
      <c r="E4" s="10"/>
      <c r="F4" s="11"/>
    </row>
    <row r="5" spans="1:6" ht="14.25">
      <c r="A5" s="5"/>
      <c r="B5" s="12"/>
      <c r="C5" s="11"/>
      <c r="D5" s="11"/>
      <c r="E5" s="11"/>
      <c r="F5" s="11"/>
    </row>
    <row r="6" spans="1:6" ht="15">
      <c r="A6" s="5"/>
      <c r="B6" s="7" t="s">
        <v>2</v>
      </c>
      <c r="C6" s="8" t="str">
        <f>VLOOKUP(F2,'Raw Data'!A:AO,3,FALSE)</f>
        <v>City of Eugene UR Agency</v>
      </c>
      <c r="D6" s="9"/>
      <c r="E6" s="10"/>
      <c r="F6" s="11"/>
    </row>
    <row r="7" spans="1:6" ht="14.25">
      <c r="A7" s="5"/>
      <c r="B7" s="11"/>
      <c r="C7" s="11"/>
      <c r="D7" s="11"/>
      <c r="E7" s="11"/>
      <c r="F7" s="11"/>
    </row>
    <row r="8" spans="1:6" ht="15">
      <c r="A8" s="5"/>
      <c r="B8" s="11"/>
      <c r="C8" s="11"/>
      <c r="D8" s="11"/>
      <c r="E8" s="96" t="s">
        <v>3</v>
      </c>
      <c r="F8" s="97"/>
    </row>
    <row r="9" spans="1:6" ht="15">
      <c r="A9" s="13">
        <v>1</v>
      </c>
      <c r="B9" s="14" t="s">
        <v>4</v>
      </c>
      <c r="C9" s="15" t="str">
        <f>VLOOKUP(F2,'Raw Data'!A:AO,4,FALSE)</f>
        <v>Riverfront</v>
      </c>
      <c r="D9" s="16"/>
      <c r="E9" s="17"/>
      <c r="F9" s="18" t="str">
        <f>VLOOKUP(F2,'Raw Data'!A:AO,6,FALSE)</f>
        <v>200008720</v>
      </c>
    </row>
    <row r="10" spans="1:6" ht="15">
      <c r="A10" s="13">
        <v>2</v>
      </c>
      <c r="B10" s="14" t="s">
        <v>5</v>
      </c>
      <c r="C10" s="8" t="str">
        <f>VLOOKUP(F2,'Raw Data'!A:AO,5,FALSE)</f>
        <v>City of Eugene</v>
      </c>
      <c r="D10" s="9"/>
      <c r="E10" s="10"/>
      <c r="F10" s="11"/>
    </row>
    <row r="11" spans="1:6" ht="15">
      <c r="A11" s="13">
        <v>3</v>
      </c>
      <c r="B11" s="14" t="s">
        <v>6</v>
      </c>
      <c r="C11" s="8" t="str">
        <f>VLOOKUP(F2,'Raw Data'!A:AO,7,FALSE)</f>
        <v>201450000</v>
      </c>
      <c r="D11" s="19"/>
      <c r="E11" s="20"/>
      <c r="F11" s="11"/>
    </row>
    <row r="12" spans="1:5" ht="15">
      <c r="A12" s="5">
        <v>4</v>
      </c>
      <c r="B12" s="21" t="s">
        <v>7</v>
      </c>
      <c r="C12" s="22"/>
      <c r="D12" s="22"/>
      <c r="E12" s="22"/>
    </row>
    <row r="13" spans="1:6" ht="15">
      <c r="A13" s="5"/>
      <c r="B13" s="21"/>
      <c r="C13" s="23" t="s">
        <v>8</v>
      </c>
      <c r="D13" s="24" t="s">
        <v>8</v>
      </c>
      <c r="E13" s="24" t="s">
        <v>8</v>
      </c>
      <c r="F13" s="25" t="s">
        <v>8</v>
      </c>
    </row>
    <row r="14" spans="1:6" ht="15">
      <c r="A14" s="5"/>
      <c r="B14" s="11"/>
      <c r="C14" s="26" t="s">
        <v>9</v>
      </c>
      <c r="D14" s="27" t="s">
        <v>10</v>
      </c>
      <c r="E14" s="27" t="s">
        <v>11</v>
      </c>
      <c r="F14" s="28" t="s">
        <v>12</v>
      </c>
    </row>
    <row r="15" spans="1:6" ht="15">
      <c r="A15" s="5">
        <v>5</v>
      </c>
      <c r="B15" s="29" t="s">
        <v>13</v>
      </c>
      <c r="C15" s="30">
        <f>VLOOKUP(F2,'Raw Data'!A:AO,15,FALSE)</f>
        <v>11633024852</v>
      </c>
      <c r="D15" s="30"/>
      <c r="E15" s="30"/>
      <c r="F15" s="31">
        <f>SUM(C15:E15)</f>
        <v>11633024852</v>
      </c>
    </row>
    <row r="16" spans="1:6" ht="15">
      <c r="A16" s="5">
        <v>6</v>
      </c>
      <c r="B16" s="29" t="s">
        <v>14</v>
      </c>
      <c r="C16" s="32">
        <f>C15/$F15</f>
        <v>1</v>
      </c>
      <c r="D16" s="32">
        <f>D15/$F15</f>
        <v>0</v>
      </c>
      <c r="E16" s="32">
        <f>E15/$F15</f>
        <v>0</v>
      </c>
      <c r="F16" s="32">
        <f>SUM(C16:E16)</f>
        <v>1</v>
      </c>
    </row>
    <row r="17" spans="1:6" ht="15">
      <c r="A17" s="5"/>
      <c r="B17" s="29"/>
      <c r="C17" s="33"/>
      <c r="D17" s="33"/>
      <c r="E17" s="33"/>
      <c r="F17" s="33"/>
    </row>
    <row r="18" spans="1:6" ht="15">
      <c r="A18" s="5"/>
      <c r="B18" s="34" t="s">
        <v>15</v>
      </c>
      <c r="C18" s="35"/>
      <c r="D18" s="36"/>
      <c r="E18" s="36"/>
      <c r="F18" s="36"/>
    </row>
    <row r="19" spans="1:6" ht="15">
      <c r="A19" s="5">
        <v>7</v>
      </c>
      <c r="B19" s="21" t="s">
        <v>16</v>
      </c>
      <c r="C19" s="30">
        <f>SUM(C20:C21)</f>
        <v>93553491</v>
      </c>
      <c r="D19" s="37"/>
      <c r="E19" s="38"/>
      <c r="F19" s="38"/>
    </row>
    <row r="20" spans="1:6" ht="15">
      <c r="A20" s="5">
        <v>8</v>
      </c>
      <c r="B20" s="21" t="s">
        <v>17</v>
      </c>
      <c r="C20" s="30">
        <f>VLOOKUP(F2,'Raw Data'!A:AO,16,FALSE)</f>
        <v>50609448</v>
      </c>
      <c r="D20" s="37"/>
      <c r="E20" s="38"/>
      <c r="F20" s="38"/>
    </row>
    <row r="21" spans="1:6" ht="15">
      <c r="A21" s="5">
        <v>9</v>
      </c>
      <c r="B21" s="21" t="s">
        <v>18</v>
      </c>
      <c r="C21" s="39">
        <f>VLOOKUP(F2,'Raw Data'!A:AO,17,FALSE)</f>
        <v>42944043</v>
      </c>
      <c r="D21" s="37"/>
      <c r="E21" s="38"/>
      <c r="F21" s="38"/>
    </row>
    <row r="22" spans="1:6" ht="15">
      <c r="A22" s="5"/>
      <c r="B22" s="21"/>
      <c r="C22" s="11"/>
      <c r="D22" s="11"/>
      <c r="E22" s="11"/>
      <c r="F22" s="11"/>
    </row>
    <row r="23" spans="1:6" ht="15">
      <c r="A23" s="5"/>
      <c r="B23" s="21"/>
      <c r="C23" s="40" t="s">
        <v>19</v>
      </c>
      <c r="D23" s="41" t="s">
        <v>20</v>
      </c>
      <c r="E23" s="41" t="s">
        <v>21</v>
      </c>
      <c r="F23" s="42" t="s">
        <v>22</v>
      </c>
    </row>
    <row r="24" spans="1:6" ht="15">
      <c r="A24" s="5"/>
      <c r="B24" s="21"/>
      <c r="C24" s="43" t="s">
        <v>23</v>
      </c>
      <c r="D24" s="44" t="s">
        <v>24</v>
      </c>
      <c r="E24" s="44" t="s">
        <v>25</v>
      </c>
      <c r="F24" s="45" t="s">
        <v>26</v>
      </c>
    </row>
    <row r="25" spans="1:6" ht="15">
      <c r="A25" s="5">
        <v>10</v>
      </c>
      <c r="B25" s="21" t="s">
        <v>27</v>
      </c>
      <c r="C25" s="46">
        <f>IF(VLOOKUP(F2,'Raw Data'!A:AO,18,FALSE)="",0,VLOOKUP(F2,'Raw Data'!A:AO,18,FALSE))</f>
        <v>0</v>
      </c>
      <c r="D25" s="47">
        <f>IF(VLOOKUP(F2,'Raw Data'!A:AO,19,FALSE)="",0,VLOOKUP(F2,'Raw Data'!A:AO,19,FALSE))</f>
        <v>0</v>
      </c>
      <c r="E25" s="47">
        <f>IF(VLOOKUP(F2,'Raw Data'!A:AO,20,FALSE)="",0,VLOOKUP(F2,'Raw Data'!A:AO,20,FALSE))</f>
        <v>0</v>
      </c>
      <c r="F25" s="47">
        <f>IF(VLOOKUP(F2,'Raw Data'!A:AO,21,FALSE)="",0,VLOOKUP(F2,'Raw Data'!A:AO,21,FALSE))</f>
        <v>0.0008594</v>
      </c>
    </row>
    <row r="26" spans="1:6" ht="15">
      <c r="A26" s="5">
        <f>1+A25</f>
        <v>11</v>
      </c>
      <c r="B26" s="21" t="s">
        <v>28</v>
      </c>
      <c r="C26" s="48">
        <f>ROUND(C25*$C$21,2)</f>
        <v>0</v>
      </c>
      <c r="D26" s="48">
        <f>ROUND(D25*$C$21,2)</f>
        <v>0</v>
      </c>
      <c r="E26" s="48">
        <f>ROUND(E25*$C$21,2)</f>
        <v>0</v>
      </c>
      <c r="F26" s="48">
        <f>ROUND(F25*$C$21,2)</f>
        <v>36906.11</v>
      </c>
    </row>
    <row r="27" spans="1:6" ht="15">
      <c r="A27" s="5">
        <f aca="true" t="shared" si="0" ref="A27:A48">1+A26</f>
        <v>12</v>
      </c>
      <c r="B27" s="21" t="s">
        <v>29</v>
      </c>
      <c r="C27" s="47">
        <f>ROUNDDOWN(C26/$F$15,7)</f>
        <v>0</v>
      </c>
      <c r="D27" s="47">
        <f>ROUNDDOWN(D26/$F$15,7)</f>
        <v>0</v>
      </c>
      <c r="E27" s="47">
        <f>ROUNDDOWN(E26/$F$15,7)</f>
        <v>0</v>
      </c>
      <c r="F27" s="47">
        <f>ROUNDDOWN(F26/$F$15,7)</f>
        <v>3.1E-06</v>
      </c>
    </row>
    <row r="28" spans="1:6" ht="15">
      <c r="A28" s="5">
        <f t="shared" si="0"/>
        <v>13</v>
      </c>
      <c r="B28" s="21" t="s">
        <v>30</v>
      </c>
      <c r="C28" s="48">
        <f>ROUND(C27*$C$15,2)</f>
        <v>0</v>
      </c>
      <c r="D28" s="48">
        <f>ROUND(D27*$C$15,2)</f>
        <v>0</v>
      </c>
      <c r="E28" s="48">
        <f>ROUND(E27*$C$15,2)</f>
        <v>0</v>
      </c>
      <c r="F28" s="48">
        <f>ROUND(F27*$C$15,2)</f>
        <v>36062.38</v>
      </c>
    </row>
    <row r="29" spans="1:6" ht="15">
      <c r="A29" s="5">
        <f t="shared" si="0"/>
        <v>14</v>
      </c>
      <c r="B29" s="21" t="s">
        <v>31</v>
      </c>
      <c r="C29" s="48">
        <f>ROUND(C27*$D$15,2)</f>
        <v>0</v>
      </c>
      <c r="D29" s="48">
        <f>ROUND(D27*$D$15,2)</f>
        <v>0</v>
      </c>
      <c r="E29" s="48">
        <f>ROUND(E27*$D$15,2)</f>
        <v>0</v>
      </c>
      <c r="F29" s="48">
        <f>ROUND(F27*$D$15,2)</f>
        <v>0</v>
      </c>
    </row>
    <row r="30" spans="1:6" ht="15.75" thickBot="1">
      <c r="A30" s="5">
        <f t="shared" si="0"/>
        <v>15</v>
      </c>
      <c r="B30" s="21" t="s">
        <v>32</v>
      </c>
      <c r="C30" s="49">
        <f>ROUND(C27*$E$15,2)</f>
        <v>0</v>
      </c>
      <c r="D30" s="49">
        <f>ROUND(D27*$E$15,2)</f>
        <v>0</v>
      </c>
      <c r="E30" s="49">
        <f>ROUND(E27*$E$15,2)</f>
        <v>0</v>
      </c>
      <c r="F30" s="49">
        <f>ROUND(F27*$E$15,2)</f>
        <v>0</v>
      </c>
    </row>
    <row r="31" spans="1:6" ht="15">
      <c r="A31" s="5">
        <f t="shared" si="0"/>
        <v>16</v>
      </c>
      <c r="B31" s="21" t="s">
        <v>33</v>
      </c>
      <c r="C31" s="50">
        <f>ROUND(SUM(C28:C30),2)</f>
        <v>0</v>
      </c>
      <c r="D31" s="50">
        <f>ROUND(SUM(D28:D30),2)</f>
        <v>0</v>
      </c>
      <c r="E31" s="50">
        <f>ROUND(SUM(E28:E30),2)</f>
        <v>0</v>
      </c>
      <c r="F31" s="50">
        <f>ROUND(SUM(F28:F30),2)</f>
        <v>36062.38</v>
      </c>
    </row>
    <row r="32" spans="1:6" ht="15">
      <c r="A32" s="5">
        <f t="shared" si="0"/>
        <v>17</v>
      </c>
      <c r="B32" s="21" t="s">
        <v>34</v>
      </c>
      <c r="C32" s="48">
        <f>C31-C26</f>
        <v>0</v>
      </c>
      <c r="D32" s="48">
        <f>D31-D26</f>
        <v>0</v>
      </c>
      <c r="E32" s="48">
        <f>E31-E26</f>
        <v>0</v>
      </c>
      <c r="F32" s="48">
        <f>F31-F26</f>
        <v>-843.7300000000032</v>
      </c>
    </row>
    <row r="33" spans="1:7" ht="15">
      <c r="A33" s="5">
        <f t="shared" si="0"/>
        <v>18</v>
      </c>
      <c r="B33" s="21" t="s">
        <v>35</v>
      </c>
      <c r="C33" s="51">
        <f>IF(VLOOKUP(F2,'Raw Data'!A:AO,30,FALSE)="",0,VLOOKUP(F2,'Raw Data'!A:AO,30,FALSE))</f>
        <v>0</v>
      </c>
      <c r="D33" s="51">
        <f>IF(VLOOKUP(F2,'Raw Data'!A:AO,31,FALSE)="",0,VLOOKUP(F2,'Raw Data'!A:AO,31,FALSE))</f>
        <v>0</v>
      </c>
      <c r="E33" s="51">
        <f>IF(VLOOKUP(F2,'Raw Data'!A:AO,32,FALSE)="",0,VLOOKUP(F2,'Raw Data'!A:AO,32,FALSE))</f>
        <v>0</v>
      </c>
      <c r="F33" s="51">
        <f>IF(VLOOKUP(F2,'Raw Data'!A:AO,33,FALSE)="",0,VLOOKUP(F2,'Raw Data'!A:AO,33,FALSE))</f>
        <v>36062.38</v>
      </c>
      <c r="G33" s="52"/>
    </row>
    <row r="34" spans="1:7" ht="15">
      <c r="A34" s="5">
        <f t="shared" si="0"/>
        <v>19</v>
      </c>
      <c r="B34" s="21" t="s">
        <v>36</v>
      </c>
      <c r="C34" s="51"/>
      <c r="D34" s="51"/>
      <c r="E34" s="51"/>
      <c r="F34" s="51"/>
      <c r="G34" s="52"/>
    </row>
    <row r="35" spans="1:7" ht="15.75" thickBot="1">
      <c r="A35" s="5">
        <f t="shared" si="0"/>
        <v>20</v>
      </c>
      <c r="B35" s="21" t="s">
        <v>37</v>
      </c>
      <c r="C35" s="53"/>
      <c r="D35" s="53"/>
      <c r="E35" s="53"/>
      <c r="F35" s="53"/>
      <c r="G35" s="52"/>
    </row>
    <row r="36" spans="1:7" ht="15">
      <c r="A36" s="5">
        <f t="shared" si="0"/>
        <v>21</v>
      </c>
      <c r="B36" s="21" t="s">
        <v>38</v>
      </c>
      <c r="C36" s="54">
        <f>SUM(C33:C35)</f>
        <v>0</v>
      </c>
      <c r="D36" s="54">
        <f>SUM(D33:D35)</f>
        <v>0</v>
      </c>
      <c r="E36" s="54">
        <f>SUM(E33:E35)</f>
        <v>0</v>
      </c>
      <c r="F36" s="54">
        <f>SUM(F33:F35)</f>
        <v>36062.38</v>
      </c>
      <c r="G36" s="52"/>
    </row>
    <row r="37" spans="1:7" ht="15">
      <c r="A37" s="5">
        <f t="shared" si="0"/>
        <v>22</v>
      </c>
      <c r="B37" s="21" t="s">
        <v>39</v>
      </c>
      <c r="C37" s="51">
        <f aca="true" t="shared" si="1" ref="C37:F39">C33-C28</f>
        <v>0</v>
      </c>
      <c r="D37" s="51">
        <f t="shared" si="1"/>
        <v>0</v>
      </c>
      <c r="E37" s="51">
        <f t="shared" si="1"/>
        <v>0</v>
      </c>
      <c r="F37" s="51">
        <f t="shared" si="1"/>
        <v>0</v>
      </c>
      <c r="G37" s="52"/>
    </row>
    <row r="38" spans="1:7" ht="15">
      <c r="A38" s="5">
        <f t="shared" si="0"/>
        <v>23</v>
      </c>
      <c r="B38" s="21" t="s">
        <v>40</v>
      </c>
      <c r="C38" s="51">
        <f t="shared" si="1"/>
        <v>0</v>
      </c>
      <c r="D38" s="51">
        <f t="shared" si="1"/>
        <v>0</v>
      </c>
      <c r="E38" s="51">
        <f t="shared" si="1"/>
        <v>0</v>
      </c>
      <c r="F38" s="51">
        <f t="shared" si="1"/>
        <v>0</v>
      </c>
      <c r="G38" s="52"/>
    </row>
    <row r="39" spans="1:7" ht="15.75" thickBot="1">
      <c r="A39" s="5">
        <f t="shared" si="0"/>
        <v>24</v>
      </c>
      <c r="B39" s="21" t="s">
        <v>41</v>
      </c>
      <c r="C39" s="53">
        <f t="shared" si="1"/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52"/>
    </row>
    <row r="40" spans="1:7" ht="15">
      <c r="A40" s="5">
        <f t="shared" si="0"/>
        <v>25</v>
      </c>
      <c r="B40" s="21" t="s">
        <v>42</v>
      </c>
      <c r="C40" s="54">
        <f>SUM(C37:C39)</f>
        <v>0</v>
      </c>
      <c r="D40" s="54">
        <f>SUM(D37:D39)</f>
        <v>0</v>
      </c>
      <c r="E40" s="54">
        <f>SUM(E37:E39)</f>
        <v>0</v>
      </c>
      <c r="F40" s="54">
        <f>SUM(F37:F39)</f>
        <v>0</v>
      </c>
      <c r="G40" s="52"/>
    </row>
    <row r="41" spans="1:7" ht="15">
      <c r="A41" s="5">
        <f t="shared" si="0"/>
        <v>26</v>
      </c>
      <c r="B41" s="21" t="s">
        <v>43</v>
      </c>
      <c r="C41" s="51">
        <f>IF(VLOOKUP(F2,'Raw Data'!A:AO,34,FALSE)="",0,VLOOKUP(F2,'Raw Data'!A:AO,34,FALSE))</f>
        <v>0</v>
      </c>
      <c r="D41" s="51">
        <f>IF(VLOOKUP(F2,'Raw Data'!A:AO,35,FALSE)="",0,VLOOKUP(F2,'Raw Data'!A:AO,35,FALSE))</f>
        <v>0</v>
      </c>
      <c r="E41" s="51">
        <f>IF(VLOOKUP(F2,'Raw Data'!A:AO,36,FALSE)="",0,VLOOKUP(F2,'Raw Data'!A:AO,36,FALSE))</f>
        <v>0</v>
      </c>
      <c r="F41" s="51">
        <f>IF(VLOOKUP(F2,'Raw Data'!A:AO,37,FALSE)="",0,VLOOKUP(F2,'Raw Data'!A:AO,37,FALSE))</f>
        <v>-0.01</v>
      </c>
      <c r="G41" s="52"/>
    </row>
    <row r="42" spans="1:7" ht="15">
      <c r="A42" s="5">
        <f t="shared" si="0"/>
        <v>27</v>
      </c>
      <c r="B42" s="21" t="s">
        <v>44</v>
      </c>
      <c r="C42" s="51"/>
      <c r="D42" s="51"/>
      <c r="E42" s="51"/>
      <c r="F42" s="51"/>
      <c r="G42" s="52"/>
    </row>
    <row r="43" spans="1:7" ht="15.75" thickBot="1">
      <c r="A43" s="5">
        <f t="shared" si="0"/>
        <v>28</v>
      </c>
      <c r="B43" s="21" t="s">
        <v>45</v>
      </c>
      <c r="C43" s="53"/>
      <c r="D43" s="53"/>
      <c r="E43" s="53"/>
      <c r="F43" s="53"/>
      <c r="G43" s="52"/>
    </row>
    <row r="44" spans="1:7" ht="15">
      <c r="A44" s="5">
        <f t="shared" si="0"/>
        <v>29</v>
      </c>
      <c r="B44" s="21" t="s">
        <v>46</v>
      </c>
      <c r="C44" s="54">
        <f>SUM(C41:C43)</f>
        <v>0</v>
      </c>
      <c r="D44" s="54">
        <f>SUM(D41:D43)</f>
        <v>0</v>
      </c>
      <c r="E44" s="54">
        <f>SUM(E41:E43)</f>
        <v>0</v>
      </c>
      <c r="F44" s="54">
        <f>SUM(F41:F43)</f>
        <v>-0.01</v>
      </c>
      <c r="G44" s="52"/>
    </row>
    <row r="45" spans="1:7" ht="15">
      <c r="A45" s="5">
        <f t="shared" si="0"/>
        <v>30</v>
      </c>
      <c r="B45" s="21" t="s">
        <v>47</v>
      </c>
      <c r="C45" s="51">
        <f>IF(VLOOKUP(F2,'Raw Data'!A:AO,38,FALSE)="",0,VLOOKUP(F2,'Raw Data'!A:AO,38,FALSE))</f>
        <v>0</v>
      </c>
      <c r="D45" s="51">
        <f>IF(VLOOKUP(F2,'Raw Data'!A:AO,39,FALSE)="",0,VLOOKUP(F2,'Raw Data'!A:AO,39,FALSE))</f>
        <v>0</v>
      </c>
      <c r="E45" s="51">
        <f>IF(VLOOKUP(F2,'Raw Data'!A:AO,40,FALSE)="",0,VLOOKUP(F2,'Raw Data'!A:AO,40,FALSE))</f>
        <v>0</v>
      </c>
      <c r="F45" s="51">
        <f>IF(VLOOKUP(F2,'Raw Data'!A:AO,41,FALSE)="",0,VLOOKUP(F2,'Raw Data'!A:AO,41,FALSE))</f>
        <v>36062.37</v>
      </c>
      <c r="G45" s="52"/>
    </row>
    <row r="46" spans="1:7" ht="15">
      <c r="A46" s="5">
        <f t="shared" si="0"/>
        <v>31</v>
      </c>
      <c r="B46" s="21" t="s">
        <v>48</v>
      </c>
      <c r="C46" s="51"/>
      <c r="D46" s="51"/>
      <c r="E46" s="51"/>
      <c r="F46" s="51"/>
      <c r="G46" s="52"/>
    </row>
    <row r="47" spans="1:7" ht="15.75" thickBot="1">
      <c r="A47" s="5">
        <f t="shared" si="0"/>
        <v>32</v>
      </c>
      <c r="B47" s="21" t="s">
        <v>49</v>
      </c>
      <c r="C47" s="49"/>
      <c r="D47" s="49"/>
      <c r="E47" s="49"/>
      <c r="F47" s="49"/>
      <c r="G47" s="52"/>
    </row>
    <row r="48" spans="1:7" ht="15">
      <c r="A48" s="5">
        <f t="shared" si="0"/>
        <v>33</v>
      </c>
      <c r="B48" s="21" t="s">
        <v>50</v>
      </c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36062.37</v>
      </c>
      <c r="G48" s="52"/>
    </row>
    <row r="49" spans="1:6" ht="15">
      <c r="A49" s="5"/>
      <c r="B49" s="21" t="s">
        <v>145</v>
      </c>
      <c r="C49" s="76">
        <f>IF(VLOOKUP(F2,'Raw Data'!A:AO,11,FALSE)="",0,VLOOKUP(F2,'Raw Data'!A:AO,11,FALSE))</f>
        <v>0</v>
      </c>
      <c r="D49" s="76">
        <f>IF(VLOOKUP(F2,'Raw Data'!A:AO,12,FALSE)="",0,VLOOKUP(F2,'Raw Data'!A:AO,12,FALSE))</f>
        <v>0</v>
      </c>
      <c r="E49" s="76">
        <f>IF(VLOOKUP(F2,'Raw Data'!A:AO,13,FALSE)="",0,VLOOKUP(F2,'Raw Data'!A:AO,13,FALSE))</f>
        <v>0</v>
      </c>
      <c r="F49" s="76">
        <f>IF(VLOOKUP(F2,'Raw Data'!A:AO,14,FALSE)="",0,VLOOKUP(F2,'Raw Data'!A:AO,14,FALSE))</f>
        <v>7231</v>
      </c>
    </row>
    <row r="50" spans="1:2" ht="14.25">
      <c r="A50" s="4" t="s">
        <v>51</v>
      </c>
      <c r="B50" s="4"/>
    </row>
    <row r="51" ht="14.25">
      <c r="A51" s="4" t="s">
        <v>52</v>
      </c>
    </row>
  </sheetData>
  <mergeCells count="1">
    <mergeCell ref="E8:F8"/>
  </mergeCells>
  <printOptions/>
  <pageMargins left="0.5" right="0.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Table 4E - Detail of Urban Renewal Plan Areas by Taxing District</dc:title>
  <dc:subject/>
  <dc:creator>Lane County</dc:creator>
  <cp:keywords/>
  <dc:description/>
  <cp:lastModifiedBy>Daniela Urbatzka</cp:lastModifiedBy>
  <cp:lastPrinted>2008-10-17T00:19:06Z</cp:lastPrinted>
  <dcterms:created xsi:type="dcterms:W3CDTF">2004-10-04T18:37:46Z</dcterms:created>
  <dcterms:modified xsi:type="dcterms:W3CDTF">2009-10-26T16:46:49Z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OnW">
    <vt:lpwstr>1</vt:lpwstr>
  </property>
  <property fmtid="{D5CDD505-2E9C-101B-9397-08002B2CF9AE}" pid="5" name="TaxDocumentTy">
    <vt:lpwstr>11</vt:lpwstr>
  </property>
  <property fmtid="{D5CDD505-2E9C-101B-9397-08002B2CF9AE}" pid="6" name="TaxYe">
    <vt:lpwstr>10</vt:lpwstr>
  </property>
  <property fmtid="{D5CDD505-2E9C-101B-9397-08002B2CF9AE}" pid="7" name="SortOr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